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設定" sheetId="2" state="visible" r:id="rId2"/>
    <sheet xmlns:r="http://schemas.openxmlformats.org/officeDocument/2006/relationships" name="案件" sheetId="3" state="visible" r:id="rId3"/>
    <sheet xmlns:r="http://schemas.openxmlformats.org/officeDocument/2006/relationships" name="原価明細" sheetId="4" state="visible" r:id="rId4"/>
    <sheet xmlns:r="http://schemas.openxmlformats.org/officeDocument/2006/relationships" name="案件別集計" sheetId="5" state="visible" r:id="rId5"/>
    <sheet xmlns:r="http://schemas.openxmlformats.org/officeDocument/2006/relationships" name="案件カード" sheetId="6" state="visible" r:id="rId6"/>
    <sheet xmlns:r="http://schemas.openxmlformats.org/officeDocument/2006/relationships" name="月別集計" sheetId="7" state="visible" r:id="rId7"/>
    <sheet xmlns:r="http://schemas.openxmlformats.org/officeDocument/2006/relationships" name="食材の単価" sheetId="8" state="visible" r:id="rId8"/>
    <sheet xmlns:r="http://schemas.openxmlformats.org/officeDocument/2006/relationships" name="メニュー原価率" sheetId="9" state="visible" r:id="rId9"/>
    <sheet xmlns:r="http://schemas.openxmlformats.org/officeDocument/2006/relationships" name="レシピ" sheetId="10" state="visible" r:id="rId10"/>
  </sheets>
  <definedNames>
    <definedName name="_xlnm.Print_Area" localSheetId="1">'設定'!$A$1:$H$32</definedName>
    <definedName name="_xlnm.Print_Titles" localSheetId="2">'案件'!$4:$5</definedName>
    <definedName name="_xlnm.Print_Area" localSheetId="2">'案件'!$A$1:$T$105</definedName>
    <definedName name="_xlnm._FilterDatabase" localSheetId="3" hidden="1">'原価明細'!$A$4:$M$1504</definedName>
    <definedName name="_xlnm.Print_Titles" localSheetId="3">'原価明細'!$4:$4</definedName>
    <definedName name="_xlnm.Print_Area" localSheetId="3">'原価明細'!$A$1:$M$1504</definedName>
    <definedName name="_xlnm._FilterDatabase" localSheetId="4" hidden="1">'案件別集計'!$A$12:$S$112</definedName>
    <definedName name="_xlnm.Print_Titles" localSheetId="4">'案件別集計'!$11:$12</definedName>
    <definedName name="_xlnm.Print_Area" localSheetId="4">'案件別集計'!$A$1:$S$112</definedName>
    <definedName name="_xlnm.Print_Area" localSheetId="5">'案件カード'!$A$1:$I$65</definedName>
    <definedName name="_xlnm.Print_Area" localSheetId="6">'月別集計'!$A$1:$K$38</definedName>
    <definedName name="_xlnm._FilterDatabase" localSheetId="7" hidden="1">'食材の単価'!$A$4:$J$204</definedName>
    <definedName name="_xlnm.Print_Titles" localSheetId="7">'食材の単価'!$4:$4</definedName>
    <definedName name="_xlnm.Print_Area" localSheetId="7">'食材の単価'!$A$1:$J$204</definedName>
    <definedName name="_xlnm._FilterDatabase" localSheetId="8" hidden="1">'メニュー原価率'!$A$7:$O$107</definedName>
    <definedName name="_xlnm.Print_Titles" localSheetId="8">'メニュー原価率'!$7:$7</definedName>
    <definedName name="_xlnm.Print_Area" localSheetId="8">'メニュー原価率'!$A$1:$O$107</definedName>
    <definedName name="_xlnm._FilterDatabase" localSheetId="9" hidden="1">'レシピ'!$A$4:$H$604</definedName>
    <definedName name="_xlnm.Print_Titles" localSheetId="9">'レシピ'!$4:$4</definedName>
    <definedName name="_xlnm.Print_Area" localSheetId="9">'レシピ'!$A$1:$H$604</definedName>
  </definedNames>
  <calcPr calcId="124519" fullCalcOnLoad="1"/>
</workbook>
</file>

<file path=xl/styles.xml><?xml version="1.0" encoding="utf-8"?>
<styleSheet xmlns="http://schemas.openxmlformats.org/spreadsheetml/2006/main">
  <numFmts count="10">
    <numFmt numFmtId="164" formatCode="0&quot;年&quot;"/>
    <numFmt numFmtId="165" formatCode="0&quot;月から&quot;"/>
    <numFmt numFmtId="166" formatCode="0.0%"/>
    <numFmt numFmtId="167" formatCode="#,##0;-#,##0"/>
    <numFmt numFmtId="168" formatCode="yyyy/m/d"/>
    <numFmt numFmtId="169" formatCode="#,##0;-#,##0;0"/>
    <numFmt numFmtId="170" formatCode="0&quot;件&quot;"/>
    <numFmt numFmtId="171" formatCode="+#,##0;-#,##0;0"/>
    <numFmt numFmtId="172" formatCode="+0.0&quot;ポイント&quot;;-0.0&quot;ポイント&quot;;0.0&quot;ポイント&quot;"/>
    <numFmt numFmtId="173" formatCode="#,##0.0"/>
  </numFmts>
  <fonts count="17">
    <font>
      <name val="Calibri"/>
      <family val="2"/>
      <color theme="1"/>
      <sz val="11"/>
      <scheme val="minor"/>
    </font>
    <font>
      <name val="Yu Gothic"/>
      <b val="1"/>
      <color rgb="00FFFFFF"/>
      <sz val="13"/>
    </font>
    <font>
      <name val="Yu Gothic"/>
      <b val="1"/>
      <color rgb="001B3A5C"/>
      <sz val="10"/>
    </font>
    <font>
      <name val="Yu Gothic"/>
      <color rgb="001A1A1A"/>
      <sz val="10"/>
    </font>
    <font>
      <name val="Yu Gothic"/>
      <color rgb="0066707A"/>
      <sz val="9"/>
    </font>
    <font>
      <name val="Yu Gothic"/>
      <b val="1"/>
      <color rgb="00FFFFFF"/>
      <sz val="11"/>
    </font>
    <font>
      <name val="Yu Gothic"/>
      <b val="1"/>
      <color rgb="00FFFFFF"/>
      <sz val="9"/>
    </font>
    <font>
      <name val="Yu Gothic"/>
      <color rgb="0066707A"/>
      <sz val="8"/>
    </font>
    <font>
      <name val="Yu Gothic"/>
      <b val="1"/>
      <color rgb="001A1A1A"/>
      <sz val="9"/>
    </font>
    <font>
      <name val="Yu Gothic"/>
      <color rgb="001A1A1A"/>
      <sz val="9"/>
    </font>
    <font>
      <name val="Yu Gothic"/>
      <b val="1"/>
      <color rgb="00B3261E"/>
      <sz val="8"/>
    </font>
    <font>
      <name val="Yu Gothic"/>
      <b val="1"/>
      <color rgb="001A1A1A"/>
      <sz val="10"/>
    </font>
    <font>
      <name val="Yu Gothic"/>
      <b val="1"/>
      <color rgb="001B3A5C"/>
      <sz val="12"/>
    </font>
    <font>
      <name val="Yu Gothic"/>
      <b val="1"/>
      <color rgb="00B3261E"/>
      <sz val="10"/>
    </font>
    <font>
      <name val="Yu Gothic"/>
      <color theme="1"/>
      <sz val="11"/>
    </font>
    <font>
      <name val="Yu Gothic"/>
      <b val="1"/>
      <color rgb="FF1B3A5C"/>
      <sz val="10"/>
    </font>
    <font>
      <name val="Yu Gothic"/>
      <b val="1"/>
      <color rgb="FF1B3A5C"/>
      <sz val="12"/>
    </font>
  </fonts>
  <fills count="7">
    <fill>
      <patternFill/>
    </fill>
    <fill>
      <patternFill patternType="gray125"/>
    </fill>
    <fill>
      <patternFill patternType="solid">
        <fgColor rgb="001B3A5C"/>
      </patternFill>
    </fill>
    <fill>
      <patternFill patternType="solid">
        <fgColor rgb="00F2F2EF"/>
      </patternFill>
    </fill>
    <fill>
      <patternFill patternType="solid">
        <fgColor rgb="00FFF9E6"/>
      </patternFill>
    </fill>
    <fill>
      <patternFill patternType="solid">
        <fgColor rgb="004A5D73"/>
      </patternFill>
    </fill>
    <fill>
      <patternFill patternType="solid">
        <fgColor rgb="00EEF1F4"/>
      </patternFill>
    </fill>
  </fills>
  <borders count="9">
    <border>
      <left/>
      <right/>
      <top/>
      <bottom/>
      <diagonal/>
    </border>
    <border>
      <left style="thin">
        <color rgb="00B9C4CF"/>
      </left>
      <right style="thin">
        <color rgb="00B9C4CF"/>
      </right>
      <top style="thin">
        <color rgb="00B9C4CF"/>
      </top>
      <bottom style="thin">
        <color rgb="00B9C4CF"/>
      </bottom>
    </border>
    <border>
      <left/>
      <right/>
      <top style="thin">
        <color rgb="00B9C4CF"/>
      </top>
      <bottom/>
      <diagonal/>
    </border>
    <border>
      <left/>
      <right style="thin">
        <color rgb="00B9C4CF"/>
      </right>
      <top style="thin">
        <color rgb="00B9C4CF"/>
      </top>
      <bottom/>
      <diagonal/>
    </border>
    <border>
      <left/>
      <right/>
      <top style="thin">
        <color rgb="00B9C4CF"/>
      </top>
      <bottom style="thin">
        <color rgb="00B9C4CF"/>
      </bottom>
      <diagonal/>
    </border>
    <border>
      <left/>
      <right style="thin">
        <color rgb="00B9C4CF"/>
      </right>
      <top style="thin">
        <color rgb="00B9C4CF"/>
      </top>
      <bottom style="thin">
        <color rgb="00B9C4CF"/>
      </bottom>
      <diagonal/>
    </border>
    <border>
      <left/>
      <right/>
      <top/>
      <bottom/>
    </border>
    <border>
      <left/>
      <right/>
      <top style="thin">
        <color rgb="00B9C4CF"/>
      </top>
      <bottom style="thin">
        <color rgb="00B9C4CF"/>
      </bottom>
    </border>
    <border>
      <left/>
      <right style="thin">
        <color rgb="00B9C4CF"/>
      </right>
      <top style="thin">
        <color rgb="00B9C4CF"/>
      </top>
      <bottom style="thin">
        <color rgb="00B9C4CF"/>
      </bottom>
    </border>
  </borders>
  <cellStyleXfs count="1">
    <xf numFmtId="0" fontId="0" fillId="0" borderId="0"/>
  </cellStyleXfs>
  <cellXfs count="99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0" fillId="2" borderId="0" pivotButton="0" quotePrefix="0" xfId="0"/>
    <xf numFmtId="0" fontId="2" fillId="3" borderId="0" applyAlignment="1" pivotButton="0" quotePrefix="0" xfId="0">
      <alignment horizontal="left" vertical="center" wrapText="1"/>
    </xf>
    <xf numFmtId="0" fontId="0" fillId="3" borderId="0" pivotButton="0" quotePrefix="0" xfId="0"/>
    <xf numFmtId="0" fontId="3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0" fontId="0" fillId="4" borderId="1" pivotButton="0" quotePrefix="0" xfId="0"/>
    <xf numFmtId="164" fontId="3" fillId="4" borderId="1" applyAlignment="1" pivotButton="0" quotePrefix="0" xfId="0">
      <alignment horizontal="center" vertical="center" wrapText="1"/>
    </xf>
    <xf numFmtId="165" fontId="3" fillId="4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0" fontId="3" fillId="4" borderId="1" applyAlignment="1" pivotButton="0" quotePrefix="0" xfId="0">
      <alignment horizontal="center" vertical="center" wrapText="1"/>
    </xf>
    <xf numFmtId="166" fontId="3" fillId="4" borderId="1" applyAlignment="1" pivotButton="0" quotePrefix="0" xfId="0">
      <alignment horizontal="center" vertical="center" wrapText="1"/>
    </xf>
    <xf numFmtId="0" fontId="5" fillId="2" borderId="0" applyAlignment="1" pivotButton="0" quotePrefix="0" xfId="0">
      <alignment horizontal="left" vertical="center" wrapText="1"/>
    </xf>
    <xf numFmtId="0" fontId="6" fillId="2" borderId="1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center" vertical="center" wrapText="1"/>
    </xf>
    <xf numFmtId="167" fontId="3" fillId="4" borderId="1" applyAlignment="1" pivotButton="0" quotePrefix="0" xfId="0">
      <alignment horizontal="right" vertical="center" shrinkToFit="1"/>
    </xf>
    <xf numFmtId="0" fontId="3" fillId="4" borderId="1" applyAlignment="1" pivotButton="0" quotePrefix="0" xfId="0">
      <alignment horizontal="right" vertical="center" shrinkToFit="1"/>
    </xf>
    <xf numFmtId="167" fontId="8" fillId="3" borderId="1" applyAlignment="1" pivotButton="0" quotePrefix="0" xfId="0">
      <alignment horizontal="right" vertical="center" shrinkToFit="1"/>
    </xf>
    <xf numFmtId="0" fontId="4" fillId="4" borderId="1" applyAlignment="1" pivotButton="0" quotePrefix="0" xfId="0">
      <alignment horizontal="left" vertical="center" wrapText="1"/>
    </xf>
    <xf numFmtId="0" fontId="7" fillId="0" borderId="0" pivotButton="0" quotePrefix="0" xfId="0"/>
    <xf numFmtId="0" fontId="2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3" fillId="4" borderId="1" applyAlignment="1" pivotButton="0" quotePrefix="0" xfId="0">
      <alignment horizontal="left" vertical="center" shrinkToFit="1"/>
    </xf>
    <xf numFmtId="168" fontId="3" fillId="4" borderId="1" applyAlignment="1" pivotButton="0" quotePrefix="0" xfId="0">
      <alignment horizontal="center" vertical="center" wrapText="1"/>
    </xf>
    <xf numFmtId="169" fontId="8" fillId="6" borderId="1" applyAlignment="1" pivotButton="0" quotePrefix="0" xfId="0">
      <alignment horizontal="right" vertical="center" shrinkToFit="1"/>
    </xf>
    <xf numFmtId="169" fontId="9" fillId="3" borderId="1" applyAlignment="1" pivotButton="0" quotePrefix="0" xfId="0">
      <alignment horizontal="right" vertical="center" shrinkToFit="1"/>
    </xf>
    <xf numFmtId="166" fontId="9" fillId="3" borderId="1" applyAlignment="1" pivotButton="0" quotePrefix="0" xfId="0">
      <alignment horizontal="right" vertical="center" shrinkToFit="1"/>
    </xf>
    <xf numFmtId="0" fontId="4" fillId="4" borderId="1" applyAlignment="1" pivotButton="0" quotePrefix="0" xfId="0">
      <alignment horizontal="left" vertical="center" shrinkToFit="1"/>
    </xf>
    <xf numFmtId="0" fontId="10" fillId="3" borderId="1" applyAlignment="1" pivotButton="0" quotePrefix="0" xfId="0">
      <alignment horizontal="left" vertical="center" shrinkToFit="1"/>
    </xf>
    <xf numFmtId="168" fontId="9" fillId="4" borderId="1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9" fillId="3" borderId="1" applyAlignment="1" pivotButton="0" quotePrefix="0" xfId="0">
      <alignment horizontal="left" vertical="center" shrinkToFit="1"/>
    </xf>
    <xf numFmtId="0" fontId="9" fillId="4" borderId="1" applyAlignment="1" pivotButton="0" quotePrefix="0" xfId="0">
      <alignment horizontal="left" vertical="center" shrinkToFit="1"/>
    </xf>
    <xf numFmtId="0" fontId="9" fillId="4" borderId="1" applyAlignment="1" pivotButton="0" quotePrefix="0" xfId="0">
      <alignment horizontal="right" vertical="center" shrinkToFit="1"/>
    </xf>
    <xf numFmtId="167" fontId="9" fillId="4" borderId="1" applyAlignment="1" pivotButton="0" quotePrefix="0" xfId="0">
      <alignment horizontal="right" vertical="center" shrinkToFit="1"/>
    </xf>
    <xf numFmtId="167" fontId="9" fillId="3" borderId="1" applyAlignment="1" pivotButton="0" quotePrefix="0" xfId="0">
      <alignment horizontal="right" vertical="center" shrinkToFit="1"/>
    </xf>
    <xf numFmtId="0" fontId="11" fillId="3" borderId="1" applyAlignment="1" pivotButton="0" quotePrefix="0" xfId="0">
      <alignment horizontal="left" vertical="center" wrapText="1"/>
    </xf>
    <xf numFmtId="0" fontId="0" fillId="0" borderId="1" pivotButton="0" quotePrefix="0" xfId="0"/>
    <xf numFmtId="170" fontId="8" fillId="6" borderId="1" applyAlignment="1" pivotButton="0" quotePrefix="0" xfId="0">
      <alignment horizontal="right" vertical="center" shrinkToFit="1"/>
    </xf>
    <xf numFmtId="171" fontId="8" fillId="6" borderId="1" applyAlignment="1" pivotButton="0" quotePrefix="0" xfId="0">
      <alignment horizontal="right" vertical="center" shrinkToFit="1"/>
    </xf>
    <xf numFmtId="166" fontId="8" fillId="6" borderId="1" applyAlignment="1" pivotButton="0" quotePrefix="0" xfId="0">
      <alignment horizontal="right" vertical="center" shrinkToFit="1"/>
    </xf>
    <xf numFmtId="172" fontId="8" fillId="6" borderId="1" applyAlignment="1" pivotButton="0" quotePrefix="0" xfId="0">
      <alignment horizontal="right" vertical="center" shrinkToFit="1"/>
    </xf>
    <xf numFmtId="170" fontId="9" fillId="3" borderId="1" applyAlignment="1" pivotButton="0" quotePrefix="0" xfId="0">
      <alignment horizontal="right" vertical="center" shrinkToFit="1"/>
    </xf>
    <xf numFmtId="171" fontId="9" fillId="3" borderId="1" applyAlignment="1" pivotButton="0" quotePrefix="0" xfId="0">
      <alignment horizontal="right" vertical="center" shrinkToFit="1"/>
    </xf>
    <xf numFmtId="172" fontId="9" fillId="3" borderId="1" applyAlignment="1" pivotButton="0" quotePrefix="0" xfId="0">
      <alignment horizontal="right" vertical="center" shrinkToFit="1"/>
    </xf>
    <xf numFmtId="0" fontId="2" fillId="3" borderId="1" applyAlignment="1" pivotButton="0" quotePrefix="0" xfId="0">
      <alignment horizontal="left" vertical="center" wrapText="1"/>
    </xf>
    <xf numFmtId="169" fontId="8" fillId="3" borderId="1" applyAlignment="1" pivotButton="0" quotePrefix="0" xfId="0">
      <alignment horizontal="right" vertical="center" shrinkToFit="1"/>
    </xf>
    <xf numFmtId="0" fontId="9" fillId="3" borderId="1" applyAlignment="1" pivotButton="0" quotePrefix="0" xfId="0">
      <alignment horizontal="center" vertical="center" wrapText="1"/>
    </xf>
    <xf numFmtId="0" fontId="8" fillId="3" borderId="1" applyAlignment="1" pivotButton="0" quotePrefix="0" xfId="0">
      <alignment horizontal="center" vertical="center" wrapText="1"/>
    </xf>
    <xf numFmtId="166" fontId="8" fillId="3" borderId="1" applyAlignment="1" pivotButton="0" quotePrefix="0" xfId="0">
      <alignment horizontal="right" vertical="center" shrinkToFit="1"/>
    </xf>
    <xf numFmtId="169" fontId="7" fillId="0" borderId="0" pivotButton="0" quotePrefix="0" xfId="0"/>
    <xf numFmtId="168" fontId="7" fillId="0" borderId="0" pivotButton="0" quotePrefix="0" xfId="0"/>
    <xf numFmtId="0" fontId="12" fillId="4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  <xf numFmtId="0" fontId="11" fillId="3" borderId="1" applyAlignment="1" pivotButton="0" quotePrefix="0" xfId="0">
      <alignment horizontal="left" vertical="center" shrinkToFit="1"/>
    </xf>
    <xf numFmtId="0" fontId="0" fillId="3" borderId="1" pivotButton="0" quotePrefix="0" xfId="0"/>
    <xf numFmtId="0" fontId="3" fillId="3" borderId="1" applyAlignment="1" pivotButton="0" quotePrefix="0" xfId="0">
      <alignment horizontal="left" vertical="center" shrinkToFit="1"/>
    </xf>
    <xf numFmtId="168" fontId="3" fillId="3" borderId="1" applyAlignment="1" pivotButton="0" quotePrefix="0" xfId="0">
      <alignment horizontal="left" vertical="center" shrinkToFit="1"/>
    </xf>
    <xf numFmtId="0" fontId="0" fillId="2" borderId="1" pivotButton="0" quotePrefix="0" xfId="0"/>
    <xf numFmtId="0" fontId="11" fillId="6" borderId="1" applyAlignment="1" pivotButton="0" quotePrefix="0" xfId="0">
      <alignment horizontal="center" vertical="center" wrapText="1"/>
    </xf>
    <xf numFmtId="0" fontId="0" fillId="6" borderId="1" pivotButton="0" quotePrefix="0" xfId="0"/>
    <xf numFmtId="0" fontId="8" fillId="6" borderId="1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left" vertical="center" wrapText="1"/>
    </xf>
    <xf numFmtId="0" fontId="7" fillId="3" borderId="1" applyAlignment="1" pivotButton="0" quotePrefix="0" xfId="0">
      <alignment horizontal="left" vertical="center" shrinkToFit="1"/>
    </xf>
    <xf numFmtId="0" fontId="9" fillId="3" borderId="1" applyAlignment="1" pivotButton="0" quotePrefix="0" xfId="0">
      <alignment horizontal="right" vertical="center" shrinkToFit="1"/>
    </xf>
    <xf numFmtId="0" fontId="7" fillId="3" borderId="1" applyAlignment="1" pivotButton="0" quotePrefix="0" xfId="0">
      <alignment horizontal="center" vertical="center" wrapText="1"/>
    </xf>
    <xf numFmtId="168" fontId="9" fillId="3" borderId="1" applyAlignment="1" pivotButton="0" quotePrefix="0" xfId="0">
      <alignment horizontal="center" vertical="center" wrapText="1"/>
    </xf>
    <xf numFmtId="0" fontId="11" fillId="3" borderId="1" applyAlignment="1" pivotButton="0" quotePrefix="0" xfId="0">
      <alignment horizontal="center" vertical="center" wrapText="1"/>
    </xf>
    <xf numFmtId="9" fontId="9" fillId="4" borderId="1" applyAlignment="1" pivotButton="0" quotePrefix="0" xfId="0">
      <alignment horizontal="right" vertical="center" shrinkToFit="1"/>
    </xf>
    <xf numFmtId="4" fontId="8" fillId="6" borderId="1" applyAlignment="1" pivotButton="0" quotePrefix="0" xfId="0">
      <alignment horizontal="right" vertical="center" shrinkToFit="1"/>
    </xf>
    <xf numFmtId="1" fontId="8" fillId="3" borderId="1" applyAlignment="1" pivotButton="0" quotePrefix="0" xfId="0">
      <alignment horizontal="right" vertical="center" shrinkToFit="1"/>
    </xf>
    <xf numFmtId="173" fontId="9" fillId="3" borderId="1" applyAlignment="1" pivotButton="0" quotePrefix="0" xfId="0">
      <alignment horizontal="right" vertical="center" shrinkToFit="1"/>
    </xf>
    <xf numFmtId="173" fontId="8" fillId="6" borderId="1" applyAlignment="1" pivotButton="0" quotePrefix="0" xfId="0">
      <alignment horizontal="right" vertical="center" shrinkToFit="1"/>
    </xf>
    <xf numFmtId="1" fontId="9" fillId="3" borderId="1" applyAlignment="1" pivotButton="0" quotePrefix="0" xfId="0">
      <alignment horizontal="center" vertical="center" wrapText="1"/>
    </xf>
    <xf numFmtId="4" fontId="9" fillId="3" borderId="1" applyAlignment="1" pivotButton="0" quotePrefix="0" xfId="0">
      <alignment horizontal="right" vertical="center" shrinkToFit="1"/>
    </xf>
    <xf numFmtId="0" fontId="1" fillId="2" borderId="6" applyAlignment="1" pivotButton="0" quotePrefix="0" xfId="0">
      <alignment horizontal="left" vertical="center" wrapText="1"/>
    </xf>
    <xf numFmtId="0" fontId="14" fillId="0" borderId="6" pivotButton="0" quotePrefix="0" xfId="0"/>
    <xf numFmtId="0" fontId="15" fillId="3" borderId="6" applyAlignment="1" pivotButton="0" quotePrefix="0" xfId="0">
      <alignment horizontal="left" vertical="center" wrapText="1"/>
    </xf>
    <xf numFmtId="0" fontId="3" fillId="0" borderId="6" applyAlignment="1" pivotButton="0" quotePrefix="0" xfId="0">
      <alignment horizontal="left" vertical="top" wrapText="1"/>
    </xf>
    <xf numFmtId="0" fontId="4" fillId="0" borderId="6" applyAlignment="1" pivotButton="0" quotePrefix="0" xfId="0">
      <alignment horizontal="left" vertical="center" wrapText="1"/>
    </xf>
    <xf numFmtId="0" fontId="15" fillId="3" borderId="1" applyAlignment="1" pivotButton="0" quotePrefix="0" xfId="0">
      <alignment horizontal="center" vertical="center" wrapText="1"/>
    </xf>
    <xf numFmtId="0" fontId="14" fillId="0" borderId="7" pivotButton="0" quotePrefix="0" xfId="0"/>
    <xf numFmtId="0" fontId="14" fillId="0" borderId="8" pivotButton="0" quotePrefix="0" xfId="0"/>
    <xf numFmtId="0" fontId="5" fillId="2" borderId="6" applyAlignment="1" pivotButton="0" quotePrefix="0" xfId="0">
      <alignment horizontal="left" vertical="center" wrapText="1"/>
    </xf>
    <xf numFmtId="0" fontId="7" fillId="0" borderId="6" applyAlignment="1" pivotButton="0" quotePrefix="0" xfId="0">
      <alignment horizontal="center" vertical="center" wrapText="1"/>
    </xf>
    <xf numFmtId="0" fontId="7" fillId="0" borderId="6" pivotButton="0" quotePrefix="0" xfId="0"/>
    <xf numFmtId="0" fontId="15" fillId="0" borderId="6" applyAlignment="1" pivotButton="0" quotePrefix="0" xfId="0">
      <alignment horizontal="left" vertical="center" wrapText="1"/>
    </xf>
    <xf numFmtId="0" fontId="15" fillId="3" borderId="1" applyAlignment="1" pivotButton="0" quotePrefix="0" xfId="0">
      <alignment horizontal="left" vertical="center" wrapText="1"/>
    </xf>
    <xf numFmtId="169" fontId="7" fillId="0" borderId="6" pivotButton="0" quotePrefix="0" xfId="0"/>
    <xf numFmtId="168" fontId="7" fillId="0" borderId="6" pivotButton="0" quotePrefix="0" xfId="0"/>
    <xf numFmtId="0" fontId="16" fillId="4" borderId="1" applyAlignment="1" pivotButton="0" quotePrefix="0" xfId="0">
      <alignment horizontal="center" vertical="center" wrapText="1"/>
    </xf>
    <xf numFmtId="0" fontId="13" fillId="0" borderId="6" applyAlignment="1" pivotButton="0" quotePrefix="0" xfId="0">
      <alignment horizontal="left" vertical="center" wrapText="1"/>
    </xf>
    <xf numFmtId="0" fontId="7" fillId="0" borderId="6" applyAlignment="1" pivotButton="0" quotePrefix="0" xfId="0">
      <alignment horizontal="left" vertical="center" wrapText="1"/>
    </xf>
  </cellXfs>
  <cellStyles count="1">
    <cellStyle name="Normal" xfId="0" builtinId="0" hidden="0"/>
  </cellStyles>
  <dxfs count="5">
    <dxf>
      <font>
        <b val="1"/>
        <color rgb="00B3261E"/>
      </font>
      <fill>
        <patternFill patternType="solid">
          <fgColor rgb="00FDECEA"/>
          <bgColor rgb="00FDECEA"/>
        </patternFill>
      </fill>
    </dxf>
    <dxf>
      <font>
        <b val="1"/>
        <color rgb="00B3261E"/>
      </font>
    </dxf>
    <dxf>
      <font>
        <b val="1"/>
        <color rgb="007A5A00"/>
      </font>
      <fill>
        <patternFill patternType="solid">
          <fgColor rgb="00FFF4CC"/>
          <bgColor rgb="00FFF4CC"/>
        </patternFill>
      </fill>
    </dxf>
    <dxf>
      <font>
        <b val="1"/>
        <color rgb="001B3A5C"/>
      </font>
    </dxf>
    <dxf>
      <font>
        <b val="1"/>
        <color rgb="0066707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050" b="1">
                <a:solidFill>
                  <a:srgbClr val="1B3A5C"/>
                </a:solidFill>
                <a:latin typeface="Yu Gothic"/>
                <a:ea typeface="Yu Gothic"/>
              </a:defRPr>
            </a:pPr>
            <a:r>
              <a:rPr sz="1050" b="1">
                <a:solidFill>
                  <a:srgbClr val="1B3A5C"/>
                </a:solidFill>
                <a:latin typeface="Yu Gothic"/>
                <a:ea typeface="Yu Gothic"/>
              </a:rPr>
              <a:t>月別の原価（費目ごと・横軸は月）</a:t>
            </a:r>
          </a:p>
        </rich>
      </tx>
      <overlay val="0"/>
    </title>
    <plotArea>
      <barChart>
        <barDir val="col"/>
        <grouping val="stacked"/>
        <ser>
          <idx val="0"/>
          <order val="0"/>
          <tx>
            <v>材料費</v>
          </tx>
          <spPr>
            <a:solidFill xmlns:a="http://schemas.openxmlformats.org/drawingml/2006/main">
              <a:srgbClr val="1B3A5C"/>
            </a:solidFill>
            <a:ln xmlns:a="http://schemas.openxmlformats.org/drawingml/2006/main">
              <a:solidFill>
                <a:srgbClr val="1B3A5C"/>
              </a:solidFill>
              <a:prstDash val="solid"/>
            </a:ln>
          </spPr>
          <invertIfNegative val="0"/>
          <cat>
            <numRef>
              <f>'月別集計'!$N$6:$N$17</f>
            </numRef>
          </cat>
          <val>
            <numRef>
              <f>'月別集計'!$B$6:$B$17</f>
            </numRef>
          </val>
        </ser>
        <ser>
          <idx val="1"/>
          <order val="1"/>
          <tx>
            <v>労務費</v>
          </tx>
          <spPr>
            <a:solidFill xmlns:a="http://schemas.openxmlformats.org/drawingml/2006/main">
              <a:srgbClr val="4A5D73"/>
            </a:solidFill>
            <a:ln xmlns:a="http://schemas.openxmlformats.org/drawingml/2006/main">
              <a:solidFill>
                <a:srgbClr val="4A5D73"/>
              </a:solidFill>
              <a:prstDash val="solid"/>
            </a:ln>
          </spPr>
          <invertIfNegative val="0"/>
          <cat>
            <numRef>
              <f>'月別集計'!$N$6:$N$17</f>
            </numRef>
          </cat>
          <val>
            <numRef>
              <f>'月別集計'!$C$6:$C$17</f>
            </numRef>
          </val>
        </ser>
        <ser>
          <idx val="2"/>
          <order val="2"/>
          <tx>
            <v>外注費</v>
          </tx>
          <spPr>
            <a:solidFill xmlns:a="http://schemas.openxmlformats.org/drawingml/2006/main">
              <a:srgbClr val="8094AA"/>
            </a:solidFill>
            <a:ln xmlns:a="http://schemas.openxmlformats.org/drawingml/2006/main">
              <a:solidFill>
                <a:srgbClr val="8094AA"/>
              </a:solidFill>
              <a:prstDash val="solid"/>
            </a:ln>
          </spPr>
          <invertIfNegative val="0"/>
          <cat>
            <numRef>
              <f>'月別集計'!$N$6:$N$17</f>
            </numRef>
          </cat>
          <val>
            <numRef>
              <f>'月別集計'!$D$6:$D$17</f>
            </numRef>
          </val>
        </ser>
        <ser>
          <idx val="3"/>
          <order val="3"/>
          <tx>
            <v>経費</v>
          </tx>
          <spPr>
            <a:solidFill xmlns:a="http://schemas.openxmlformats.org/drawingml/2006/main">
              <a:srgbClr val="B9C4CF"/>
            </a:solidFill>
            <a:ln xmlns:a="http://schemas.openxmlformats.org/drawingml/2006/main">
              <a:solidFill>
                <a:srgbClr val="B9C4CF"/>
              </a:solidFill>
              <a:prstDash val="solid"/>
            </a:ln>
          </spPr>
          <invertIfNegative val="0"/>
          <cat>
            <numRef>
              <f>'月別集計'!$N$6:$N$17</f>
            </numRef>
          </cat>
          <val>
            <numRef>
              <f>'月別集計'!$E$6:$E$17</f>
            </numRef>
          </val>
        </ser>
        <gapWidth val="60"/>
        <overlap val="100"/>
        <axId val="10"/>
        <axId val="100"/>
      </barChart>
      <catAx>
        <axId val="10"/>
        <scaling>
          <orientation val="minMax"/>
        </scaling>
        <delete val="0"/>
        <axPos val="l"/>
        <numFmt formatCode="0" sourceLinked="0"/>
        <majorTickMark val="none"/>
        <minorTickMark val="none"/>
        <tickLblPos val="low"/>
        <txPr>
          <a:bodyPr xmlns:a="http://schemas.openxmlformats.org/drawingml/2006/main"/>
          <a:p xmlns:a="http://schemas.openxmlformats.org/drawingml/2006/main">
            <a:pPr>
              <a:defRPr sz="750" b="0">
                <a:solidFill>
                  <a:srgbClr val="333333"/>
                </a:solidFill>
                <a:latin typeface="Yu Gothic"/>
                <a:ea typeface="Yu Gothic"/>
              </a:defRPr>
            </a:pPr>
            <a:r>
              <a:t/>
            </a:r>
            <a:endParaRPr sz="750" b="0">
              <a:solidFill>
                <a:srgbClr val="333333"/>
              </a:solidFill>
              <a:latin typeface="Yu Gothic"/>
              <a:ea typeface="Yu Gothic"/>
            </a:endParaRPr>
          </a:p>
        </txPr>
        <crossAx val="100"/>
        <crosses val="autoZero"/>
        <lblOffset val="100"/>
      </catAx>
      <valAx>
        <axId val="1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750" b="0">
                <a:solidFill>
                  <a:srgbClr val="333333"/>
                </a:solidFill>
                <a:latin typeface="Yu Gothic"/>
                <a:ea typeface="Yu Gothic"/>
              </a:defRPr>
            </a:pPr>
            <a:r>
              <a:t/>
            </a:r>
            <a:endParaRPr sz="750" b="0">
              <a:solidFill>
                <a:srgbClr val="333333"/>
              </a:solidFill>
              <a:latin typeface="Yu Gothic"/>
              <a:ea typeface="Yu Gothic"/>
            </a:endParaRPr>
          </a:p>
        </txPr>
        <crossAx val="10"/>
        <crosses val="autoZero"/>
        <crossBetween val="between"/>
      </valAx>
    </plotArea>
    <legend>
      <legendPos val="r"/>
      <txPr>
        <a:bodyPr xmlns:a="http://schemas.openxmlformats.org/drawingml/2006/main"/>
        <a:p xmlns:a="http://schemas.openxmlformats.org/drawingml/2006/main">
          <a:pPr>
            <a:defRPr sz="800" b="0">
              <a:solidFill>
                <a:srgbClr val="333333"/>
              </a:solidFill>
              <a:latin typeface="Yu Gothic"/>
              <a:ea typeface="Yu Gothic"/>
            </a:defRPr>
          </a:pPr>
          <a:r>
            <a:t/>
          </a:r>
          <a:endParaRPr sz="800" b="0">
            <a:solidFill>
              <a:srgbClr val="333333"/>
            </a:solidFill>
            <a:latin typeface="Yu Gothic"/>
            <a:ea typeface="Yu Gothic"/>
          </a:endParaRPr>
        </a:p>
      </txPr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57150</colOff>
      <row>21</row>
      <rowOff>28575</rowOff>
    </from>
    <ext cx="8640000" cy="266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66707A"/>
    <outlinePr summaryBelow="1" summaryRight="1"/>
    <pageSetUpPr fitToPage="1"/>
  </sheetPr>
  <dimension ref="A1:B65"/>
  <sheetViews>
    <sheetView showGridLines="0" tabSelected="1" workbookViewId="0">
      <selection activeCell="A1" sqref="A1"/>
    </sheetView>
  </sheetViews>
  <sheetFormatPr baseColWidth="8" defaultRowHeight="15"/>
  <cols>
    <col width="24" customWidth="1" min="1" max="1"/>
    <col width="104" customWidth="1" min="2" max="2"/>
  </cols>
  <sheetData>
    <row r="1" ht="26" customHeight="1">
      <c r="A1" s="81" t="inlineStr">
        <is>
          <t>使い方（原価計算・原価管理エクセル）</t>
        </is>
      </c>
      <c r="B1" s="82" t="n"/>
    </row>
    <row r="2" ht="20" customHeight="1">
      <c r="A2" s="83" t="inlineStr">
        <is>
          <t>このファイルでできること</t>
        </is>
      </c>
      <c r="B2" s="82" t="n"/>
    </row>
    <row r="3" ht="32" customHeight="1">
      <c r="A3" s="84" t="inlineStr">
        <is>
          <t>工事・案件・製品ごとに、材料費・労務費・外注費・経費を1行ずつ記録すると、案件ごとに実際の原価が集まり、予定原価（工事なら実行予算）との差・粗利・粗利率が自動で出ます。</t>
        </is>
      </c>
      <c r="B3" s="82" t="n"/>
    </row>
    <row r="4" ht="17.5" customHeight="1">
      <c r="A4" s="84" t="inlineStr">
        <is>
          <t>労務費は「時間（または日数）×単価」で出します。作業者ごとの単価を設定シートに入れておけば、明細には時間か日数を入れるだけです。</t>
        </is>
      </c>
      <c r="B4" s="82" t="n"/>
    </row>
    <row r="5" ht="17.5" customHeight="1">
      <c r="A5" s="84" t="inlineStr">
        <is>
          <t>月別集計には、月ごとの原価（明細の日付の月）と、その月に完了した案件の粗利が出ます。</t>
        </is>
      </c>
      <c r="B5" s="82" t="n"/>
    </row>
    <row r="6" ht="32" customHeight="1">
      <c r="A6" s="84" t="inlineStr">
        <is>
          <t>飲食店のメニュー原価は、別の3シート（食材の単価・メニュー原価率・レシピ）で出します。1皿あたりの材料の量×単価で計算する別の作りです。</t>
        </is>
      </c>
      <c r="B6" s="82" t="n"/>
    </row>
    <row r="7">
      <c r="A7" s="82" t="n"/>
      <c r="B7" s="82" t="n"/>
    </row>
    <row r="8" ht="20" customHeight="1">
      <c r="A8" s="83" t="inlineStr">
        <is>
          <t>シートの分かれ方</t>
        </is>
      </c>
      <c r="B8" s="82" t="n"/>
    </row>
    <row r="9" ht="17.5" customHeight="1">
      <c r="A9" s="84" t="inlineStr">
        <is>
          <t>案件の原価: 設定 → 案件（予定原価を入れる）→ 原価明細（使った原価を入れる）→ 案件別集計・案件カード・月別集計（自動）。</t>
        </is>
      </c>
      <c r="B9" s="82" t="n"/>
    </row>
    <row r="10" ht="32" customHeight="1">
      <c r="A10" s="84" t="inlineStr">
        <is>
          <t>飲食店のメニュー: 食材の単価（仕入れ値）→ メニュー原価率（メニューと売価）→ レシピ（1品に使う量）。原価率はメニュー原価率シートに出ます。</t>
        </is>
      </c>
      <c r="B10" s="82" t="n"/>
    </row>
    <row r="11" ht="17.5" customHeight="1">
      <c r="A11" s="84" t="inlineStr">
        <is>
          <t>片方だけ使うなら、使わない側のシートは空のままで構いません。</t>
        </is>
      </c>
      <c r="B11" s="82" t="n"/>
    </row>
    <row r="12" ht="17.5" customHeight="1">
      <c r="A12" s="84" t="inlineStr">
        <is>
          <t>黄色のセルが入力、灰色のセルは数式です。灰色のセルは書き換えません。</t>
        </is>
      </c>
      <c r="B12" s="82" t="n"/>
    </row>
    <row r="13">
      <c r="A13" s="82" t="n"/>
      <c r="B13" s="82" t="n"/>
    </row>
    <row r="14" ht="20" customHeight="1">
      <c r="A14" s="83" t="inlineStr">
        <is>
          <t>最初の1回（設定と案件）</t>
        </is>
      </c>
      <c r="B14" s="82" t="n"/>
    </row>
    <row r="15" ht="32" customHeight="1">
      <c r="A15" s="84" t="inlineStr">
        <is>
          <t>1. 「設定」に会社名・年度の始まり（年と月）・金額の扱い（税抜か税込か）を入れます。月別集計の12か月は、年度の始まりから並びます。</t>
        </is>
      </c>
      <c r="B15" s="82" t="n"/>
    </row>
    <row r="16" ht="32" customHeight="1">
      <c r="A16" s="84" t="inlineStr">
        <is>
          <t>2. 労務費の単価を作業者・職種ごとに入れます。単位は「時間」か「日」。単価を直接入れるか、「時間」の人は月の人件費と月の労働時間を入れると、割り算した単価（円未満は四捨五入）が使われます。</t>
        </is>
      </c>
      <c r="B16" s="82" t="n"/>
    </row>
    <row r="17" ht="32" customHeight="1">
      <c r="A17" s="84" t="inlineStr">
        <is>
          <t>3. 「案件」に案件番号・案件名・受注金額と、予定原価を4つ（材料費・労務費・外注費・経費）入れます。案件番号は1件に1つ。K-001 のような英数字とハイフンにします。</t>
        </is>
      </c>
      <c r="B17" s="82" t="n"/>
    </row>
    <row r="18" ht="17.5" customHeight="1">
      <c r="A18" s="84" t="inlineStr">
        <is>
          <t xml:space="preserve">   見積の段階でも入れられます（状態を「見積中」にし、受注金額の欄に見積額）。</t>
        </is>
      </c>
      <c r="B18" s="82" t="n"/>
    </row>
    <row r="19">
      <c r="A19" s="82" t="n"/>
      <c r="B19" s="82" t="n"/>
    </row>
    <row r="20" ht="20" customHeight="1">
      <c r="A20" s="83" t="inlineStr">
        <is>
          <t>毎日・毎週やること（原価明細）</t>
        </is>
      </c>
      <c r="B20" s="82" t="n"/>
    </row>
    <row r="21" ht="17.5" customHeight="1">
      <c r="A21" s="84" t="inlineStr">
        <is>
          <t>1. 材料の請求書・外注の請求書・レシート・日報を見ながら、「原価明細」に1件1行で入れます。案件番号は一覧から選びます。</t>
        </is>
      </c>
      <c r="B21" s="82" t="n"/>
    </row>
    <row r="22" ht="17.5" customHeight="1">
      <c r="A22" s="84" t="inlineStr">
        <is>
          <t>2. 費目は 材料費・労務費・外注費・経費 の4つから選びます。</t>
        </is>
      </c>
      <c r="B22" s="82" t="n"/>
    </row>
    <row r="23" ht="32" customHeight="1">
      <c r="A23" s="84" t="inlineStr">
        <is>
          <t>3. 金額は、数量と単価を入れて「数量×単価」で出すか、金額の欄に直接入れます。両方入れたときは数量×単価を使い、確認の列に知らせが出ます。</t>
        </is>
      </c>
      <c r="B23" s="82" t="n"/>
    </row>
    <row r="24" ht="17.5" customHeight="1">
      <c r="A24" s="84" t="inlineStr">
        <is>
          <t>4. 労務費は、内容に作業者名（設定シートと同じ書き方）、数量に時間か日数を入れます。単価を空けると設定シートの単価が使われます。</t>
        </is>
      </c>
      <c r="B24" s="82" t="n"/>
    </row>
    <row r="25" ht="17.5" customHeight="1">
      <c r="A25" s="84" t="inlineStr">
        <is>
          <t>5. 確認の列に文字が出た行は、集計に入っていないか、入れ方に問題があります。直すと消えます。</t>
        </is>
      </c>
      <c r="B25" s="82" t="n"/>
    </row>
    <row r="26" ht="17.5" customHeight="1">
      <c r="A26" s="84" t="inlineStr">
        <is>
          <t>6. 案件の状態が変わったら、「案件」の状態と完了日を直します。完了日を入れた月に、その案件の粗利が月別集計に入ります。</t>
        </is>
      </c>
      <c r="B26" s="82" t="n"/>
    </row>
    <row r="27" ht="17.5" customHeight="1">
      <c r="A27" s="84" t="inlineStr">
        <is>
          <t>7. 中止にした案件は、受注金額の欄を実際に受け取る額（受け取らないなら0）に直します。かかった原価はそのまま残ります。</t>
        </is>
      </c>
      <c r="B27" s="82" t="n"/>
    </row>
    <row r="28">
      <c r="A28" s="82" t="n"/>
      <c r="B28" s="82" t="n"/>
    </row>
    <row r="29" ht="20" customHeight="1">
      <c r="A29" s="83" t="inlineStr">
        <is>
          <t>計算のしかた</t>
        </is>
      </c>
      <c r="B29" s="82" t="n"/>
    </row>
    <row r="30" ht="17.5" customHeight="1">
      <c r="A30" s="84" t="inlineStr">
        <is>
          <t>明細の金額 ＝ 数量 × 単価（円未満は四捨五入）。数量か単価が無いときは、金額の欄の値。</t>
        </is>
      </c>
      <c r="B30" s="82" t="n"/>
    </row>
    <row r="31" ht="17.5" customHeight="1">
      <c r="A31" s="84" t="inlineStr">
        <is>
          <t>実際原価 ＝ その案件の明細の金額の合計（費目ごとに足してから全部を足す）。</t>
        </is>
      </c>
      <c r="B31" s="82" t="n"/>
    </row>
    <row r="32" ht="17.5" customHeight="1">
      <c r="A32" s="84" t="inlineStr">
        <is>
          <t>差異 ＝ 実際原価 − 予定原価。プラスは予定より多く使ったこと。消化率 ＝ 実際原価 ÷ 予定原価。</t>
        </is>
      </c>
      <c r="B32" s="82" t="n"/>
    </row>
    <row r="33" ht="32" customHeight="1">
      <c r="A33" s="84" t="inlineStr">
        <is>
          <t>粗利 ＝ 受注金額 − 原価。粗利率 ＝ 粗利 ÷ 受注金額。予定と実際の両方を出し、その差を「ポイント」で出します（実際の粗利率 − 予定の粗利率）。</t>
        </is>
      </c>
      <c r="B33" s="82" t="n"/>
    </row>
    <row r="34" ht="32" customHeight="1">
      <c r="A34" s="84" t="inlineStr">
        <is>
          <t>判定: 実際原価が予定原価を超えたら「超過」。進行中・見積中の案件で、消化率が設定の注意ライン以上なら「注意」。それ以外は「予定内」。予定原価が0で実際の原価があるときは「予定なし」。</t>
        </is>
      </c>
      <c r="B34" s="82" t="n"/>
    </row>
    <row r="35" ht="17.5" customHeight="1">
      <c r="A35" s="84" t="inlineStr">
        <is>
          <t>メニューの原価率 ＝ 1皿の原価 ÷ 売価。1皿の原価 ＝ レシピの材料の原価の合計 ÷ 何人前。材料の原価 ＝ 使用量 × 1単位あたりの原価。</t>
        </is>
      </c>
      <c r="B35" s="82" t="n"/>
    </row>
    <row r="36" ht="17.5" customHeight="1">
      <c r="A36" s="84" t="inlineStr">
        <is>
          <t>1単位あたりの原価 ＝ 仕入価格 ÷（仕入量 × 歩留まり）。歩留まりを空けると100%として計算します。</t>
        </is>
      </c>
      <c r="B36" s="82" t="n"/>
    </row>
    <row r="37">
      <c r="A37" s="82" t="n"/>
      <c r="B37" s="82" t="n"/>
    </row>
    <row r="38" ht="20" customHeight="1">
      <c r="A38" s="83" t="inlineStr">
        <is>
          <t>建設業（工事ごと）で使うとき</t>
        </is>
      </c>
      <c r="B38" s="82" t="n"/>
    </row>
    <row r="39" ht="17.5" customHeight="1">
      <c r="A39" s="84" t="inlineStr">
        <is>
          <t>案件＝工事、予定原価＝実行予算です。工事番号を案件番号に使います。</t>
        </is>
      </c>
      <c r="B39" s="82" t="n"/>
    </row>
    <row r="40" ht="17.5" customHeight="1">
      <c r="A40" s="84" t="inlineStr">
        <is>
          <t>4つの費目は、建設業の決算書類の完成工事原価報告書と同じ分け方（材料費・労務費・外注費・経費）です。</t>
        </is>
      </c>
      <c r="B40" s="82" t="n"/>
    </row>
    <row r="41" ht="17.5" customHeight="1">
      <c r="A41" s="84" t="inlineStr">
        <is>
          <t>人工出し（労務だけの外注）を労務費に入れるか外注費に入れるかは、会社で決めて毎回そろえます。</t>
        </is>
      </c>
      <c r="B41" s="82" t="n"/>
    </row>
    <row r="42" ht="17.5" customHeight="1">
      <c r="A42" s="84" t="inlineStr">
        <is>
          <t>案件カードで工事を選ぶと、1枚に予定・実際・差異と明細が出ます。工事ごとの原価の報告や、次の見積の見直しに使います。</t>
        </is>
      </c>
      <c r="B42" s="82" t="n"/>
    </row>
    <row r="43">
      <c r="A43" s="82" t="n"/>
      <c r="B43" s="82" t="n"/>
    </row>
    <row r="44" ht="20" customHeight="1">
      <c r="A44" s="83" t="inlineStr">
        <is>
          <t>飲食店（メニューごと）で使うとき</t>
        </is>
      </c>
      <c r="B44" s="82" t="n"/>
    </row>
    <row r="45" ht="32" customHeight="1">
      <c r="A45" s="84" t="inlineStr">
        <is>
          <t>1. 「食材の単価」に、仕入れた単位の価格と量を入れます（鶏もも肉 2,000g で 1,980円 など）。皮・骨・芯などを捨てる食材は、使える割合を歩留まりに入れます。</t>
        </is>
      </c>
      <c r="B45" s="82" t="n"/>
    </row>
    <row r="46" ht="17.5" customHeight="1">
      <c r="A46" s="84" t="inlineStr">
        <is>
          <t>2. 「メニュー原価率」にメニュー名と売価を入れます。仕込みを何人前かまとめて作るメニューは、何人前の欄に人数を入れます。</t>
        </is>
      </c>
      <c r="B46" s="82" t="n"/>
    </row>
    <row r="47" ht="17.5" customHeight="1">
      <c r="A47" s="84" t="inlineStr">
        <is>
          <t>3. 「レシピ」に、メニューごとに材料と使用量を1行ずつ入れます（メニュー名と食材名は一覧から選びます）。</t>
        </is>
      </c>
      <c r="B47" s="82" t="n"/>
    </row>
    <row r="48" ht="32" customHeight="1">
      <c r="A48" s="84" t="inlineStr">
        <is>
          <t>4. メニュー原価率シートに、1皿の原価・原価率・1皿の粗利が出ます。設定に目標原価率を入れると、それを超えたメニューに「目標超え」と出ます。</t>
        </is>
      </c>
      <c r="B48" s="82" t="n"/>
    </row>
    <row r="49" ht="17.5" customHeight="1">
      <c r="A49" s="84" t="inlineStr">
        <is>
          <t>5. 月の出数を入れると、そのメニューの月の売上と原価、出数を入れたメニュー全体の原価率が出ます。</t>
        </is>
      </c>
      <c r="B49" s="82" t="n"/>
    </row>
    <row r="50" ht="17.5" customHeight="1">
      <c r="A50" s="84" t="inlineStr">
        <is>
          <t>売価と仕入価格は、税込みか税抜きのどちらかにそろえて入れます。記入例は両方とも税込みです。</t>
        </is>
      </c>
      <c r="B50" s="82" t="n"/>
    </row>
    <row r="51">
      <c r="A51" s="82" t="n"/>
      <c r="B51" s="82" t="n"/>
    </row>
    <row r="52" ht="20" customHeight="1">
      <c r="A52" s="83" t="inlineStr">
        <is>
          <t>印刷</t>
        </is>
      </c>
      <c r="B52" s="82" t="n"/>
    </row>
    <row r="53" ht="17.5" customHeight="1">
      <c r="A53" s="84" t="inlineStr">
        <is>
          <t>案件カードは A4縦1枚、案件別集計・月別集計・原価明細は A4横です。</t>
        </is>
      </c>
      <c r="B53" s="82" t="n"/>
    </row>
    <row r="54" ht="17.5" customHeight="1">
      <c r="A54" s="84" t="inlineStr">
        <is>
          <t>案件カードには明細を40行まで出します。それより多い案件は、原価明細シートで案件番号を絞り込んで印刷します（見出しの行の▼から）。</t>
        </is>
      </c>
      <c r="B54" s="82" t="n"/>
    </row>
    <row r="55">
      <c r="A55" s="82" t="n"/>
      <c r="B55" s="82" t="n"/>
    </row>
    <row r="56" ht="20" customHeight="1">
      <c r="A56" s="83" t="inlineStr">
        <is>
          <t>使っている関数（Excel 2016 以降）</t>
        </is>
      </c>
      <c r="B56" s="82" t="n"/>
    </row>
    <row r="57" ht="32" customHeight="1">
      <c r="A57" s="84" t="inlineStr">
        <is>
          <t>SUMIFS・COUNTIFS・SUMIF・COUNTIF・INDEX・MATCH・IFERROR・IF・AND・OR・NOT・ISNUMBER・ISNA・SUM・COUNT・COUNTA・MAX・ROUND・TRIM・N・TEXT・DATE・YEAR・MONTH。XLOOKUP・FILTER は使っていません。</t>
        </is>
      </c>
      <c r="B57" s="82" t="n"/>
    </row>
    <row r="58" ht="17.5" customHeight="1">
      <c r="A58" s="84" t="inlineStr">
        <is>
          <t>SUMIFS・COUNTIFS は Excel 2016 以降で使えます（Microsoft サポートの適用先）。</t>
        </is>
      </c>
      <c r="B58" s="82" t="n"/>
    </row>
    <row r="59">
      <c r="A59" s="82" t="n"/>
      <c r="B59" s="82" t="n"/>
    </row>
    <row r="60" ht="20" customHeight="1">
      <c r="A60" s="83" t="inlineStr">
        <is>
          <t>気をつけること</t>
        </is>
      </c>
      <c r="B60" s="82" t="n"/>
    </row>
    <row r="61" ht="32" customHeight="1">
      <c r="A61" s="84" t="inlineStr">
        <is>
          <t>行や列を挿入・削除しないでください。集計が位置で読んでいます。足りない行は、明細なら1,500行、案件なら100件、食材200・メニュー100・レシピ600行までです。</t>
        </is>
      </c>
      <c r="B61" s="82" t="n"/>
    </row>
    <row r="62" ht="17.5" customHeight="1">
      <c r="A62" s="84" t="inlineStr">
        <is>
          <t>案件番号・メニュー名・食材名に * や ? を使わないでください。集計で、ほかの名前と混ざります。</t>
        </is>
      </c>
      <c r="B62" s="82" t="n"/>
    </row>
    <row r="63" ht="17.5" customHeight="1">
      <c r="A63" s="84" t="inlineStr">
        <is>
          <t>案件番号を途中で書き換えると、明細の番号は自動では変わりません。明細の番号も同じように直します。</t>
        </is>
      </c>
      <c r="B63" s="82" t="n"/>
    </row>
    <row r="64" ht="17.5" customHeight="1">
      <c r="A64" s="84" t="inlineStr">
        <is>
          <t>灰色のセルを消してしまったときは、すぐ上の行のセルをコピーして貼り付けます。</t>
        </is>
      </c>
      <c r="B64" s="82" t="n"/>
    </row>
    <row r="65" ht="17.5" customHeight="1">
      <c r="A65" s="84" t="inlineStr">
        <is>
          <t>このファイルは原価を管理するための表です。決算書や税務申告の書類そのものではありません。</t>
        </is>
      </c>
      <c r="B65" s="82" t="n"/>
    </row>
  </sheetData>
  <mergeCells count="56">
    <mergeCell ref="A48:B48"/>
    <mergeCell ref="A24:B24"/>
    <mergeCell ref="A30:B30"/>
    <mergeCell ref="A15:B15"/>
    <mergeCell ref="A64:B64"/>
    <mergeCell ref="A60:B60"/>
    <mergeCell ref="A11:B11"/>
    <mergeCell ref="A49:B49"/>
    <mergeCell ref="A45:B45"/>
    <mergeCell ref="A36:B36"/>
    <mergeCell ref="A1:B1"/>
    <mergeCell ref="A61:B61"/>
    <mergeCell ref="A6:B6"/>
    <mergeCell ref="A16:B16"/>
    <mergeCell ref="A54:B54"/>
    <mergeCell ref="A25:B25"/>
    <mergeCell ref="A65:B65"/>
    <mergeCell ref="A41:B41"/>
    <mergeCell ref="A46:B46"/>
    <mergeCell ref="A18:B18"/>
    <mergeCell ref="A27:B27"/>
    <mergeCell ref="A56:B56"/>
    <mergeCell ref="A3:B3"/>
    <mergeCell ref="A12:B12"/>
    <mergeCell ref="A50:B50"/>
    <mergeCell ref="A26:B26"/>
    <mergeCell ref="A21:B21"/>
    <mergeCell ref="A2:B2"/>
    <mergeCell ref="A57:B57"/>
    <mergeCell ref="A33:B33"/>
    <mergeCell ref="A47:B47"/>
    <mergeCell ref="A5:B5"/>
    <mergeCell ref="A42:B42"/>
    <mergeCell ref="A32:B32"/>
    <mergeCell ref="A14:B14"/>
    <mergeCell ref="A17:B17"/>
    <mergeCell ref="A23:B23"/>
    <mergeCell ref="A8:B8"/>
    <mergeCell ref="A22:B22"/>
    <mergeCell ref="A53:B53"/>
    <mergeCell ref="A35:B35"/>
    <mergeCell ref="A4:B4"/>
    <mergeCell ref="A62:B62"/>
    <mergeCell ref="A20:B20"/>
    <mergeCell ref="A38:B38"/>
    <mergeCell ref="A29:B29"/>
    <mergeCell ref="A52:B52"/>
    <mergeCell ref="A63:B63"/>
    <mergeCell ref="A10:B10"/>
    <mergeCell ref="A44:B44"/>
    <mergeCell ref="A40:B40"/>
    <mergeCell ref="A9:B9"/>
    <mergeCell ref="A31:B31"/>
    <mergeCell ref="A58:B58"/>
    <mergeCell ref="A39:B39"/>
    <mergeCell ref="A34:B34"/>
  </mergeCells>
  <printOptions horizontalCentered="1"/>
  <pageMargins left="0.4" right="0.4" top="0.45" bottom="0.45" header="0.2" footer="0.2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tabColor rgb="001B3A5C"/>
    <outlinePr summaryBelow="1" summaryRight="1"/>
    <pageSetUpPr fitToPage="1"/>
  </sheetPr>
  <dimension ref="A1:J32"/>
  <sheetViews>
    <sheetView showGridLines="0" tabSelected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30" customWidth="1" min="2" max="2"/>
    <col width="10" customWidth="1" min="3" max="3"/>
    <col width="15" customWidth="1" min="4" max="4"/>
    <col width="15" customWidth="1" min="5" max="5"/>
    <col width="15" customWidth="1" min="6" max="6"/>
    <col width="14" customWidth="1" min="7" max="7"/>
    <col width="40" customWidth="1" min="8" max="8"/>
    <col width="2" customWidth="1" min="9" max="9"/>
    <col width="22" customWidth="1" min="10" max="10"/>
  </cols>
  <sheetData>
    <row r="1" ht="26" customHeight="1">
      <c r="A1" s="81" t="inlineStr">
        <is>
          <t>設定（最初に1回入れる）</t>
        </is>
      </c>
      <c r="B1" s="82" t="n"/>
      <c r="C1" s="82" t="n"/>
      <c r="D1" s="82" t="n"/>
      <c r="E1" s="82" t="n"/>
      <c r="F1" s="82" t="n"/>
      <c r="G1" s="82" t="n"/>
      <c r="H1" s="82" t="n"/>
      <c r="I1" s="82" t="n"/>
      <c r="J1" s="82" t="n"/>
    </row>
    <row r="2" ht="18" customHeight="1">
      <c r="A2" s="85" t="inlineStr">
        <is>
          <t>黄色に入れます。灰色は自動です。ここで入れた内容は、ほかのシートの見出しと計算に使われます。</t>
        </is>
      </c>
      <c r="B2" s="82" t="n"/>
      <c r="C2" s="82" t="n"/>
      <c r="D2" s="82" t="n"/>
      <c r="E2" s="82" t="n"/>
      <c r="F2" s="82" t="n"/>
      <c r="G2" s="82" t="n"/>
      <c r="H2" s="82" t="n"/>
      <c r="I2" s="82" t="n"/>
      <c r="J2" s="82" t="n"/>
    </row>
    <row r="3" ht="22" customHeight="1">
      <c r="A3" s="86" t="inlineStr">
        <is>
          <t>会社名</t>
        </is>
      </c>
      <c r="B3" s="8" t="n"/>
      <c r="C3" s="87" t="n"/>
      <c r="D3" s="88" t="n"/>
      <c r="E3" s="85" t="inlineStr">
        <is>
          <t>案件の原価のシートの見出しに出ます。</t>
        </is>
      </c>
      <c r="F3" s="82" t="n"/>
      <c r="G3" s="82" t="n"/>
      <c r="H3" s="82" t="n"/>
      <c r="I3" s="82" t="n"/>
      <c r="J3" s="82" t="n"/>
    </row>
    <row r="4" ht="22" customHeight="1">
      <c r="A4" s="86" t="inlineStr">
        <is>
          <t>年度の始まり</t>
        </is>
      </c>
      <c r="B4" s="10" t="n">
        <v>2026</v>
      </c>
      <c r="C4" s="11" t="n">
        <v>4</v>
      </c>
      <c r="D4" s="12">
        <f>IFERROR(B4&amp;"年"&amp;C4&amp;"月〜"&amp;YEAR(DATE(B4,C4+11,1))&amp;"年"&amp;MONTH(DATE(B4,C4+11,1))&amp;"月（12か月）","年と月を入れてください")</f>
        <v/>
      </c>
      <c r="E4" s="87" t="n"/>
      <c r="F4" s="88" t="n"/>
      <c r="G4" s="85" t="inlineStr">
        <is>
          <t>月別集計の12か月がここから並びます。3月決算なら4月から。</t>
        </is>
      </c>
      <c r="H4" s="82" t="n"/>
      <c r="I4" s="82" t="n"/>
      <c r="J4" s="82" t="n"/>
    </row>
    <row r="5" ht="22" customHeight="1">
      <c r="A5" s="86" t="inlineStr">
        <is>
          <t>金額の扱い</t>
        </is>
      </c>
      <c r="B5" s="15" t="inlineStr">
        <is>
          <t>税抜</t>
        </is>
      </c>
      <c r="C5" s="85" t="inlineStr">
        <is>
          <t>税抜か税込か。受注金額も原価も、ここで決めたほうにそろえて入れます（見出しに出るだけで、計算は変わりません）。</t>
        </is>
      </c>
      <c r="D5" s="82" t="n"/>
      <c r="E5" s="82" t="n"/>
      <c r="F5" s="82" t="n"/>
      <c r="G5" s="82" t="n"/>
      <c r="H5" s="82" t="n"/>
      <c r="I5" s="82" t="n"/>
      <c r="J5" s="82" t="n"/>
    </row>
    <row r="6" ht="22" customHeight="1">
      <c r="A6" s="86" t="inlineStr">
        <is>
          <t>原価の注意ライン</t>
        </is>
      </c>
      <c r="B6" s="16" t="n">
        <v>0.9</v>
      </c>
      <c r="C6" s="85" t="inlineStr">
        <is>
          <t>完了していない案件で、実際原価が予定原価のこの割合に達したら「注意」と出ます。空欄なら出しません。</t>
        </is>
      </c>
      <c r="D6" s="82" t="n"/>
      <c r="E6" s="82" t="n"/>
      <c r="F6" s="82" t="n"/>
      <c r="G6" s="82" t="n"/>
      <c r="H6" s="82" t="n"/>
      <c r="I6" s="82" t="n"/>
      <c r="J6" s="82" t="n"/>
    </row>
    <row r="7" ht="22" customHeight="1">
      <c r="A7" s="86" t="inlineStr">
        <is>
          <t>店名（飲食のシート）</t>
        </is>
      </c>
      <c r="B7" s="8" t="n"/>
      <c r="C7" s="87" t="n"/>
      <c r="D7" s="88" t="n"/>
      <c r="E7" s="85" t="inlineStr">
        <is>
          <t>食材の単価・メニュー原価率・レシピの見出しに出ます。空欄なら会社名。</t>
        </is>
      </c>
      <c r="F7" s="82" t="n"/>
      <c r="G7" s="82" t="n"/>
      <c r="H7" s="82" t="n"/>
      <c r="I7" s="82" t="n"/>
      <c r="J7" s="82" t="n"/>
    </row>
    <row r="8" ht="22" customHeight="1">
      <c r="A8" s="86" t="inlineStr">
        <is>
          <t>メニューの目標原価率</t>
        </is>
      </c>
      <c r="B8" s="16" t="n"/>
      <c r="C8" s="85" t="inlineStr">
        <is>
          <t>メニュー原価率シートで、これを超えたメニューに「目標超え」と出ます。空欄なら出しません。店ごとに決めます。</t>
        </is>
      </c>
      <c r="D8" s="82" t="n"/>
      <c r="E8" s="82" t="n"/>
      <c r="F8" s="82" t="n"/>
      <c r="G8" s="82" t="n"/>
      <c r="H8" s="82" t="n"/>
      <c r="I8" s="82" t="n"/>
      <c r="J8" s="82" t="n"/>
    </row>
    <row r="9">
      <c r="A9" s="82" t="n"/>
      <c r="B9" s="82" t="n"/>
      <c r="C9" s="82" t="n"/>
      <c r="D9" s="82" t="n"/>
      <c r="E9" s="82" t="n"/>
      <c r="F9" s="82" t="n"/>
      <c r="G9" s="82" t="n"/>
      <c r="H9" s="82" t="n"/>
      <c r="I9" s="82" t="n"/>
      <c r="J9" s="82" t="n"/>
    </row>
    <row r="10" ht="22" customHeight="1">
      <c r="A10" s="89" t="inlineStr">
        <is>
          <t>労務費の単価（作業者・職種ごと・20人まで）</t>
        </is>
      </c>
      <c r="B10" s="82" t="n"/>
      <c r="C10" s="82" t="n"/>
      <c r="D10" s="82" t="n"/>
      <c r="E10" s="82" t="n"/>
      <c r="F10" s="82" t="n"/>
      <c r="G10" s="82" t="n"/>
      <c r="H10" s="82" t="n"/>
      <c r="I10" s="82" t="n"/>
      <c r="J10" s="82" t="n"/>
    </row>
    <row r="11" ht="30" customHeight="1">
      <c r="A11" s="18" t="inlineStr">
        <is>
          <t>番号</t>
        </is>
      </c>
      <c r="B11" s="18" t="inlineStr">
        <is>
          <t>作業者・職種（入力）</t>
        </is>
      </c>
      <c r="C11" s="18" t="inlineStr">
        <is>
          <t>単位</t>
        </is>
      </c>
      <c r="D11" s="18" t="inlineStr">
        <is>
          <t>単価（直接入力）</t>
        </is>
      </c>
      <c r="E11" s="18" t="inlineStr">
        <is>
          <t>月の人件費
（任意）</t>
        </is>
      </c>
      <c r="F11" s="18" t="inlineStr">
        <is>
          <t>月の労働時間
（任意）</t>
        </is>
      </c>
      <c r="G11" s="18" t="inlineStr">
        <is>
          <t>使う単価
（自動）</t>
        </is>
      </c>
      <c r="H11" s="18" t="inlineStr">
        <is>
          <t>メモ</t>
        </is>
      </c>
      <c r="I11" s="82" t="n"/>
      <c r="J11" s="90" t="inlineStr">
        <is>
          <t>計算用（照合する名前）</t>
        </is>
      </c>
    </row>
    <row r="12" ht="18" customHeight="1">
      <c r="A12" s="86" t="n">
        <v>1</v>
      </c>
      <c r="B12" s="8" t="n"/>
      <c r="C12" s="15" t="n"/>
      <c r="D12" s="20" t="n"/>
      <c r="E12" s="20" t="n"/>
      <c r="F12" s="21" t="n"/>
      <c r="G12" s="22">
        <f>IF(ISNUMBER(D12),D12,IF(AND(C12&lt;&gt;"日",ISNUMBER(E12),ISNUMBER(F12)),IF(F12&gt;0,ROUND(E12/F12,0),""),""))</f>
        <v/>
      </c>
      <c r="H12" s="23" t="n"/>
      <c r="I12" s="82" t="n"/>
      <c r="J12" s="91">
        <f>TRIM(B12)</f>
        <v/>
      </c>
    </row>
    <row r="13" ht="18" customHeight="1">
      <c r="A13" s="86" t="n">
        <v>2</v>
      </c>
      <c r="B13" s="8" t="n"/>
      <c r="C13" s="15" t="n"/>
      <c r="D13" s="20" t="n"/>
      <c r="E13" s="20" t="n"/>
      <c r="F13" s="21" t="n"/>
      <c r="G13" s="22">
        <f>IF(ISNUMBER(D13),D13,IF(AND(C13&lt;&gt;"日",ISNUMBER(E13),ISNUMBER(F13)),IF(F13&gt;0,ROUND(E13/F13,0),""),""))</f>
        <v/>
      </c>
      <c r="H13" s="23" t="n"/>
      <c r="I13" s="82" t="n"/>
      <c r="J13" s="91">
        <f>TRIM(B13)</f>
        <v/>
      </c>
    </row>
    <row r="14" ht="18" customHeight="1">
      <c r="A14" s="86" t="n">
        <v>3</v>
      </c>
      <c r="B14" s="8" t="n"/>
      <c r="C14" s="15" t="n"/>
      <c r="D14" s="20" t="n"/>
      <c r="E14" s="20" t="n"/>
      <c r="F14" s="21" t="n"/>
      <c r="G14" s="22">
        <f>IF(ISNUMBER(D14),D14,IF(AND(C14&lt;&gt;"日",ISNUMBER(E14),ISNUMBER(F14)),IF(F14&gt;0,ROUND(E14/F14,0),""),""))</f>
        <v/>
      </c>
      <c r="H14" s="23" t="n"/>
      <c r="I14" s="82" t="n"/>
      <c r="J14" s="91">
        <f>TRIM(B14)</f>
        <v/>
      </c>
    </row>
    <row r="15" ht="18" customHeight="1">
      <c r="A15" s="86" t="n">
        <v>4</v>
      </c>
      <c r="B15" s="8" t="n"/>
      <c r="C15" s="15" t="n"/>
      <c r="D15" s="20" t="n"/>
      <c r="E15" s="20" t="n"/>
      <c r="F15" s="21" t="n"/>
      <c r="G15" s="22">
        <f>IF(ISNUMBER(D15),D15,IF(AND(C15&lt;&gt;"日",ISNUMBER(E15),ISNUMBER(F15)),IF(F15&gt;0,ROUND(E15/F15,0),""),""))</f>
        <v/>
      </c>
      <c r="H15" s="23" t="n"/>
      <c r="I15" s="82" t="n"/>
      <c r="J15" s="91">
        <f>TRIM(B15)</f>
        <v/>
      </c>
    </row>
    <row r="16" ht="18" customHeight="1">
      <c r="A16" s="86" t="n">
        <v>5</v>
      </c>
      <c r="B16" s="8" t="n"/>
      <c r="C16" s="15" t="n"/>
      <c r="D16" s="20" t="n"/>
      <c r="E16" s="20" t="n"/>
      <c r="F16" s="21" t="n"/>
      <c r="G16" s="22">
        <f>IF(ISNUMBER(D16),D16,IF(AND(C16&lt;&gt;"日",ISNUMBER(E16),ISNUMBER(F16)),IF(F16&gt;0,ROUND(E16/F16,0),""),""))</f>
        <v/>
      </c>
      <c r="H16" s="23" t="n"/>
      <c r="I16" s="82" t="n"/>
      <c r="J16" s="91">
        <f>TRIM(B16)</f>
        <v/>
      </c>
    </row>
    <row r="17" ht="18" customHeight="1">
      <c r="A17" s="86" t="n">
        <v>6</v>
      </c>
      <c r="B17" s="8" t="n"/>
      <c r="C17" s="15" t="n"/>
      <c r="D17" s="20" t="n"/>
      <c r="E17" s="20" t="n"/>
      <c r="F17" s="21" t="n"/>
      <c r="G17" s="22">
        <f>IF(ISNUMBER(D17),D17,IF(AND(C17&lt;&gt;"日",ISNUMBER(E17),ISNUMBER(F17)),IF(F17&gt;0,ROUND(E17/F17,0),""),""))</f>
        <v/>
      </c>
      <c r="H17" s="23" t="n"/>
      <c r="I17" s="82" t="n"/>
      <c r="J17" s="91">
        <f>TRIM(B17)</f>
        <v/>
      </c>
    </row>
    <row r="18" ht="18" customHeight="1">
      <c r="A18" s="86" t="n">
        <v>7</v>
      </c>
      <c r="B18" s="8" t="n"/>
      <c r="C18" s="15" t="n"/>
      <c r="D18" s="20" t="n"/>
      <c r="E18" s="20" t="n"/>
      <c r="F18" s="21" t="n"/>
      <c r="G18" s="22">
        <f>IF(ISNUMBER(D18),D18,IF(AND(C18&lt;&gt;"日",ISNUMBER(E18),ISNUMBER(F18)),IF(F18&gt;0,ROUND(E18/F18,0),""),""))</f>
        <v/>
      </c>
      <c r="H18" s="23" t="n"/>
      <c r="I18" s="82" t="n"/>
      <c r="J18" s="91">
        <f>TRIM(B18)</f>
        <v/>
      </c>
    </row>
    <row r="19" ht="18" customHeight="1">
      <c r="A19" s="86" t="n">
        <v>8</v>
      </c>
      <c r="B19" s="8" t="n"/>
      <c r="C19" s="15" t="n"/>
      <c r="D19" s="20" t="n"/>
      <c r="E19" s="20" t="n"/>
      <c r="F19" s="21" t="n"/>
      <c r="G19" s="22">
        <f>IF(ISNUMBER(D19),D19,IF(AND(C19&lt;&gt;"日",ISNUMBER(E19),ISNUMBER(F19)),IF(F19&gt;0,ROUND(E19/F19,0),""),""))</f>
        <v/>
      </c>
      <c r="H19" s="23" t="n"/>
      <c r="I19" s="82" t="n"/>
      <c r="J19" s="91">
        <f>TRIM(B19)</f>
        <v/>
      </c>
    </row>
    <row r="20" ht="18" customHeight="1">
      <c r="A20" s="86" t="n">
        <v>9</v>
      </c>
      <c r="B20" s="8" t="n"/>
      <c r="C20" s="15" t="n"/>
      <c r="D20" s="20" t="n"/>
      <c r="E20" s="20" t="n"/>
      <c r="F20" s="21" t="n"/>
      <c r="G20" s="22">
        <f>IF(ISNUMBER(D20),D20,IF(AND(C20&lt;&gt;"日",ISNUMBER(E20),ISNUMBER(F20)),IF(F20&gt;0,ROUND(E20/F20,0),""),""))</f>
        <v/>
      </c>
      <c r="H20" s="23" t="n"/>
      <c r="I20" s="82" t="n"/>
      <c r="J20" s="91">
        <f>TRIM(B20)</f>
        <v/>
      </c>
    </row>
    <row r="21" ht="18" customHeight="1">
      <c r="A21" s="86" t="n">
        <v>10</v>
      </c>
      <c r="B21" s="8" t="n"/>
      <c r="C21" s="15" t="n"/>
      <c r="D21" s="20" t="n"/>
      <c r="E21" s="20" t="n"/>
      <c r="F21" s="21" t="n"/>
      <c r="G21" s="22">
        <f>IF(ISNUMBER(D21),D21,IF(AND(C21&lt;&gt;"日",ISNUMBER(E21),ISNUMBER(F21)),IF(F21&gt;0,ROUND(E21/F21,0),""),""))</f>
        <v/>
      </c>
      <c r="H21" s="23" t="n"/>
      <c r="I21" s="82" t="n"/>
      <c r="J21" s="91">
        <f>TRIM(B21)</f>
        <v/>
      </c>
    </row>
    <row r="22" ht="18" customHeight="1">
      <c r="A22" s="86" t="n">
        <v>11</v>
      </c>
      <c r="B22" s="8" t="n"/>
      <c r="C22" s="15" t="n"/>
      <c r="D22" s="20" t="n"/>
      <c r="E22" s="20" t="n"/>
      <c r="F22" s="21" t="n"/>
      <c r="G22" s="22">
        <f>IF(ISNUMBER(D22),D22,IF(AND(C22&lt;&gt;"日",ISNUMBER(E22),ISNUMBER(F22)),IF(F22&gt;0,ROUND(E22/F22,0),""),""))</f>
        <v/>
      </c>
      <c r="H22" s="23" t="n"/>
      <c r="I22" s="82" t="n"/>
      <c r="J22" s="91">
        <f>TRIM(B22)</f>
        <v/>
      </c>
    </row>
    <row r="23" ht="18" customHeight="1">
      <c r="A23" s="86" t="n">
        <v>12</v>
      </c>
      <c r="B23" s="8" t="n"/>
      <c r="C23" s="15" t="n"/>
      <c r="D23" s="20" t="n"/>
      <c r="E23" s="20" t="n"/>
      <c r="F23" s="21" t="n"/>
      <c r="G23" s="22">
        <f>IF(ISNUMBER(D23),D23,IF(AND(C23&lt;&gt;"日",ISNUMBER(E23),ISNUMBER(F23)),IF(F23&gt;0,ROUND(E23/F23,0),""),""))</f>
        <v/>
      </c>
      <c r="H23" s="23" t="n"/>
      <c r="I23" s="82" t="n"/>
      <c r="J23" s="91">
        <f>TRIM(B23)</f>
        <v/>
      </c>
    </row>
    <row r="24" ht="18" customHeight="1">
      <c r="A24" s="86" t="n">
        <v>13</v>
      </c>
      <c r="B24" s="8" t="n"/>
      <c r="C24" s="15" t="n"/>
      <c r="D24" s="20" t="n"/>
      <c r="E24" s="20" t="n"/>
      <c r="F24" s="21" t="n"/>
      <c r="G24" s="22">
        <f>IF(ISNUMBER(D24),D24,IF(AND(C24&lt;&gt;"日",ISNUMBER(E24),ISNUMBER(F24)),IF(F24&gt;0,ROUND(E24/F24,0),""),""))</f>
        <v/>
      </c>
      <c r="H24" s="23" t="n"/>
      <c r="I24" s="82" t="n"/>
      <c r="J24" s="91">
        <f>TRIM(B24)</f>
        <v/>
      </c>
    </row>
    <row r="25" ht="18" customHeight="1">
      <c r="A25" s="86" t="n">
        <v>14</v>
      </c>
      <c r="B25" s="8" t="n"/>
      <c r="C25" s="15" t="n"/>
      <c r="D25" s="20" t="n"/>
      <c r="E25" s="20" t="n"/>
      <c r="F25" s="21" t="n"/>
      <c r="G25" s="22">
        <f>IF(ISNUMBER(D25),D25,IF(AND(C25&lt;&gt;"日",ISNUMBER(E25),ISNUMBER(F25)),IF(F25&gt;0,ROUND(E25/F25,0),""),""))</f>
        <v/>
      </c>
      <c r="H25" s="23" t="n"/>
      <c r="I25" s="82" t="n"/>
      <c r="J25" s="91">
        <f>TRIM(B25)</f>
        <v/>
      </c>
    </row>
    <row r="26" ht="18" customHeight="1">
      <c r="A26" s="86" t="n">
        <v>15</v>
      </c>
      <c r="B26" s="8" t="n"/>
      <c r="C26" s="15" t="n"/>
      <c r="D26" s="20" t="n"/>
      <c r="E26" s="20" t="n"/>
      <c r="F26" s="21" t="n"/>
      <c r="G26" s="22">
        <f>IF(ISNUMBER(D26),D26,IF(AND(C26&lt;&gt;"日",ISNUMBER(E26),ISNUMBER(F26)),IF(F26&gt;0,ROUND(E26/F26,0),""),""))</f>
        <v/>
      </c>
      <c r="H26" s="23" t="n"/>
      <c r="I26" s="82" t="n"/>
      <c r="J26" s="91">
        <f>TRIM(B26)</f>
        <v/>
      </c>
    </row>
    <row r="27" ht="18" customHeight="1">
      <c r="A27" s="86" t="n">
        <v>16</v>
      </c>
      <c r="B27" s="8" t="n"/>
      <c r="C27" s="15" t="n"/>
      <c r="D27" s="20" t="n"/>
      <c r="E27" s="20" t="n"/>
      <c r="F27" s="21" t="n"/>
      <c r="G27" s="22">
        <f>IF(ISNUMBER(D27),D27,IF(AND(C27&lt;&gt;"日",ISNUMBER(E27),ISNUMBER(F27)),IF(F27&gt;0,ROUND(E27/F27,0),""),""))</f>
        <v/>
      </c>
      <c r="H27" s="23" t="n"/>
      <c r="I27" s="82" t="n"/>
      <c r="J27" s="91">
        <f>TRIM(B27)</f>
        <v/>
      </c>
    </row>
    <row r="28" ht="18" customHeight="1">
      <c r="A28" s="86" t="n">
        <v>17</v>
      </c>
      <c r="B28" s="8" t="n"/>
      <c r="C28" s="15" t="n"/>
      <c r="D28" s="20" t="n"/>
      <c r="E28" s="20" t="n"/>
      <c r="F28" s="21" t="n"/>
      <c r="G28" s="22">
        <f>IF(ISNUMBER(D28),D28,IF(AND(C28&lt;&gt;"日",ISNUMBER(E28),ISNUMBER(F28)),IF(F28&gt;0,ROUND(E28/F28,0),""),""))</f>
        <v/>
      </c>
      <c r="H28" s="23" t="n"/>
      <c r="I28" s="82" t="n"/>
      <c r="J28" s="91">
        <f>TRIM(B28)</f>
        <v/>
      </c>
    </row>
    <row r="29" ht="18" customHeight="1">
      <c r="A29" s="86" t="n">
        <v>18</v>
      </c>
      <c r="B29" s="8" t="n"/>
      <c r="C29" s="15" t="n"/>
      <c r="D29" s="20" t="n"/>
      <c r="E29" s="20" t="n"/>
      <c r="F29" s="21" t="n"/>
      <c r="G29" s="22">
        <f>IF(ISNUMBER(D29),D29,IF(AND(C29&lt;&gt;"日",ISNUMBER(E29),ISNUMBER(F29)),IF(F29&gt;0,ROUND(E29/F29,0),""),""))</f>
        <v/>
      </c>
      <c r="H29" s="23" t="n"/>
      <c r="I29" s="82" t="n"/>
      <c r="J29" s="91">
        <f>TRIM(B29)</f>
        <v/>
      </c>
    </row>
    <row r="30" ht="18" customHeight="1">
      <c r="A30" s="86" t="n">
        <v>19</v>
      </c>
      <c r="B30" s="8" t="n"/>
      <c r="C30" s="15" t="n"/>
      <c r="D30" s="20" t="n"/>
      <c r="E30" s="20" t="n"/>
      <c r="F30" s="21" t="n"/>
      <c r="G30" s="22">
        <f>IF(ISNUMBER(D30),D30,IF(AND(C30&lt;&gt;"日",ISNUMBER(E30),ISNUMBER(F30)),IF(F30&gt;0,ROUND(E30/F30,0),""),""))</f>
        <v/>
      </c>
      <c r="H30" s="23" t="n"/>
      <c r="I30" s="82" t="n"/>
      <c r="J30" s="91">
        <f>TRIM(B30)</f>
        <v/>
      </c>
    </row>
    <row r="31" ht="18" customHeight="1">
      <c r="A31" s="86" t="n">
        <v>20</v>
      </c>
      <c r="B31" s="8" t="n"/>
      <c r="C31" s="15" t="n"/>
      <c r="D31" s="20" t="n"/>
      <c r="E31" s="20" t="n"/>
      <c r="F31" s="21" t="n"/>
      <c r="G31" s="22">
        <f>IF(ISNUMBER(D31),D31,IF(AND(C31&lt;&gt;"日",ISNUMBER(E31),ISNUMBER(F31)),IF(F31&gt;0,ROUND(E31/F31,0),""),""))</f>
        <v/>
      </c>
      <c r="H31" s="23" t="n"/>
      <c r="I31" s="82" t="n"/>
      <c r="J31" s="91">
        <f>TRIM(B31)</f>
        <v/>
      </c>
    </row>
    <row r="32" ht="32" customHeight="1">
      <c r="A32" s="85" t="inlineStr">
        <is>
          <t>使う単価＝単価（直接入力）。空なら、単位が「時間」の人だけ 月の人件費÷月の労働時間（円未満は四捨五入）。原価明細の労務費の行で、内容にこの名前と同じ文字を書き、単価を空けると、この単価が使われます。J列は計算用です（印刷されません）。</t>
        </is>
      </c>
      <c r="B32" s="82" t="n"/>
      <c r="C32" s="82" t="n"/>
      <c r="D32" s="82" t="n"/>
      <c r="E32" s="82" t="n"/>
      <c r="F32" s="82" t="n"/>
      <c r="G32" s="82" t="n"/>
      <c r="H32" s="82" t="n"/>
      <c r="I32" s="82" t="n"/>
      <c r="J32" s="82" t="n"/>
    </row>
  </sheetData>
  <mergeCells count="13">
    <mergeCell ref="G4:H4"/>
    <mergeCell ref="C6:H6"/>
    <mergeCell ref="B3:D3"/>
    <mergeCell ref="E3:H3"/>
    <mergeCell ref="C5:H5"/>
    <mergeCell ref="A2:H2"/>
    <mergeCell ref="D4:F4"/>
    <mergeCell ref="A10:H10"/>
    <mergeCell ref="C8:H8"/>
    <mergeCell ref="E7:H7"/>
    <mergeCell ref="A1:H1"/>
    <mergeCell ref="A32:H32"/>
    <mergeCell ref="B7:D7"/>
  </mergeCells>
  <dataValidations count="7">
    <dataValidation sqref="B4" showDropDown="0" showInputMessage="0" showErrorMessage="1" allowBlank="1" errorTitle="数字を入れてください" error="西暦の年（例: 2026）を入れてください。" type="decimal" operator="between">
      <formula1>2000</formula1>
      <formula2>2100</formula2>
    </dataValidation>
    <dataValidation sqref="C4" showDropDown="0" showInputMessage="0" showErrorMessage="1" allowBlank="1" errorTitle="数字を入れてください" error="1〜12の月を入れてください（3月決算なら4）。" type="decimal" operator="between">
      <formula1>1</formula1>
      <formula2>12</formula2>
    </dataValidation>
    <dataValidation sqref="B5" showDropDown="0" showInputMessage="0" showErrorMessage="1" allowBlank="1" errorTitle="一覧から選んでください" error="税抜か税込を選んでください。" type="list">
      <formula1>"税抜,税込"</formula1>
    </dataValidation>
    <dataValidation sqref="B6" showDropDown="0" showInputMessage="0" showErrorMessage="1" allowBlank="1" errorTitle="数字を入れてください" error="0%〜100%で入れてください（例: 90%）。" type="decimal" operator="between">
      <formula1>0</formula1>
      <formula2>1</formula2>
    </dataValidation>
    <dataValidation sqref="B8" showDropDown="0" showInputMessage="0" showErrorMessage="1" allowBlank="1" errorTitle="数字を入れてください" error="0%〜100%で入れてください（例: 33%）。" type="decimal" operator="between">
      <formula1>0</formula1>
      <formula2>1</formula2>
    </dataValidation>
    <dataValidation sqref="C12:C31" showDropDown="0" showInputMessage="0" showErrorMessage="1" allowBlank="1" errorTitle="一覧から選んでください" error="時間か日を選んでください。" type="list">
      <formula1>"時間,日"</formula1>
    </dataValidation>
    <dataValidation sqref="D12:F31" showDropDown="0" showInputMessage="0" showErrorMessage="1" allowBlank="1" errorTitle="数字を入れてください" error="0以上の数字を入れてください。" type="decimal" operator="between">
      <formula1>0</formula1>
      <formula2>999999999</formula2>
    </dataValidation>
  </dataValidations>
  <printOptions horizontalCentered="1"/>
  <pageMargins left="0.4" right="0.4" top="0.45" bottom="0.45" header="0.2" footer="0.2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tabColor rgb="00C9A227"/>
    <outlinePr summaryBelow="1" summaryRight="1"/>
    <pageSetUpPr fitToPage="1"/>
  </sheetPr>
  <dimension ref="A1:T105"/>
  <sheetViews>
    <sheetView showGridLines="0" tabSelected="0" workbookViewId="0">
      <pane xSplit="2" ySplit="5" topLeftCell="C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0" customWidth="1" min="1" max="1"/>
    <col width="30" customWidth="1" min="2" max="2"/>
    <col width="16" customWidth="1" min="3" max="3"/>
    <col width="10" customWidth="1" min="4" max="4"/>
    <col width="14" customWidth="1" min="5" max="5"/>
    <col width="11" customWidth="1" min="6" max="6"/>
    <col width="11" customWidth="1" min="7" max="7"/>
    <col width="8" customWidth="1" min="8" max="8"/>
    <col width="8" customWidth="1" min="9" max="9"/>
    <col width="6" customWidth="1" min="10" max="10"/>
    <col width="12" customWidth="1" min="11" max="11"/>
    <col width="11" customWidth="1" min="12" max="12"/>
    <col width="11" customWidth="1" min="13" max="13"/>
    <col width="11" customWidth="1" min="14" max="14"/>
    <col width="11" customWidth="1" min="15" max="15"/>
    <col width="12" customWidth="1" min="16" max="16"/>
    <col width="11" customWidth="1" min="17" max="17"/>
    <col width="9" customWidth="1" min="18" max="18"/>
    <col width="30" customWidth="1" min="19" max="19"/>
    <col width="24" customWidth="1" min="20" max="20"/>
  </cols>
  <sheetData>
    <row r="1" ht="26" customHeight="1">
      <c r="A1" s="81" t="inlineStr">
        <is>
          <t>案件（工事・製品・業務）と予定原価</t>
        </is>
      </c>
      <c r="B1" s="82" t="n"/>
      <c r="C1" s="82" t="n"/>
      <c r="D1" s="82" t="n"/>
      <c r="E1" s="82" t="n"/>
      <c r="F1" s="82" t="n"/>
      <c r="G1" s="82" t="n"/>
      <c r="H1" s="82" t="n"/>
      <c r="I1" s="82" t="n"/>
      <c r="J1" s="82" t="n"/>
      <c r="K1" s="82" t="n"/>
      <c r="L1" s="82" t="n"/>
      <c r="M1" s="82" t="n"/>
      <c r="N1" s="82" t="n"/>
      <c r="O1" s="82" t="n"/>
      <c r="P1" s="82" t="n"/>
      <c r="Q1" s="82" t="n"/>
      <c r="R1" s="82" t="n"/>
      <c r="S1" s="82" t="n"/>
      <c r="T1" s="82" t="n"/>
    </row>
    <row r="2">
      <c r="A2" s="92">
        <f>IF(TRIM('設定'!$B$3)="","",TRIM('設定'!$B$3)&amp;"　")&amp;"金額は"&amp;'設定'!$B$5&amp;"で入れる"</f>
        <v/>
      </c>
      <c r="B2" s="82" t="n"/>
      <c r="C2" s="82" t="n"/>
      <c r="D2" s="82" t="n"/>
      <c r="E2" s="82" t="n"/>
      <c r="F2" s="82" t="n"/>
      <c r="G2" s="82" t="n"/>
      <c r="H2" s="82" t="n"/>
      <c r="I2" s="82" t="n"/>
      <c r="J2" s="82" t="n"/>
      <c r="K2" s="82" t="n"/>
      <c r="L2" s="82" t="n"/>
      <c r="M2" s="82" t="n"/>
      <c r="N2" s="82" t="n"/>
      <c r="O2" s="82" t="n"/>
      <c r="P2" s="82" t="n"/>
      <c r="Q2" s="82" t="n"/>
      <c r="R2" s="82" t="n"/>
      <c r="S2" s="82" t="n"/>
      <c r="T2" s="82" t="n"/>
    </row>
    <row r="3" ht="30" customHeight="1">
      <c r="A3" s="85" t="inlineStr">
        <is>
          <t>1件1行。案件番号は1件に1つ（K-001 のような英数字とハイフン）。予定原価は、工事なら実行予算（その工事にかかると見込んだ原価）。見積中の案件は、受注金額の欄に見積額を入れます。完了したら状態を「完了」にし、完了日を入れます。</t>
        </is>
      </c>
      <c r="B3" s="82" t="n"/>
      <c r="C3" s="82" t="n"/>
      <c r="D3" s="82" t="n"/>
      <c r="E3" s="82" t="n"/>
      <c r="F3" s="82" t="n"/>
      <c r="G3" s="82" t="n"/>
      <c r="H3" s="82" t="n"/>
      <c r="I3" s="82" t="n"/>
      <c r="J3" s="82" t="n"/>
      <c r="K3" s="82" t="n"/>
      <c r="L3" s="82" t="n"/>
      <c r="M3" s="82" t="n"/>
      <c r="N3" s="82" t="n"/>
      <c r="O3" s="82" t="n"/>
      <c r="P3" s="82" t="n"/>
      <c r="Q3" s="82" t="n"/>
      <c r="R3" s="82" t="n"/>
      <c r="S3" s="82" t="n"/>
      <c r="T3" s="82" t="n"/>
    </row>
    <row r="4">
      <c r="A4" s="26" t="inlineStr">
        <is>
          <t>案件</t>
        </is>
      </c>
      <c r="B4" s="87" t="n"/>
      <c r="C4" s="87" t="n"/>
      <c r="D4" s="87" t="n"/>
      <c r="E4" s="87" t="n"/>
      <c r="F4" s="87" t="n"/>
      <c r="G4" s="87" t="n"/>
      <c r="H4" s="87" t="n"/>
      <c r="I4" s="87" t="n"/>
      <c r="J4" s="87" t="n"/>
      <c r="K4" s="88" t="n"/>
      <c r="L4" s="26" t="inlineStr">
        <is>
          <t>予定原価（工事なら実行予算）</t>
        </is>
      </c>
      <c r="M4" s="87" t="n"/>
      <c r="N4" s="87" t="n"/>
      <c r="O4" s="88" t="n"/>
      <c r="P4" s="26" t="inlineStr">
        <is>
          <t>自動</t>
        </is>
      </c>
      <c r="Q4" s="87" t="n"/>
      <c r="R4" s="88" t="n"/>
      <c r="S4" s="26" t="n"/>
      <c r="T4" s="88" t="n"/>
    </row>
    <row r="5" ht="30" customHeight="1">
      <c r="A5" s="18" t="inlineStr">
        <is>
          <t>案件番号</t>
        </is>
      </c>
      <c r="B5" s="18" t="inlineStr">
        <is>
          <t>案件名</t>
        </is>
      </c>
      <c r="C5" s="18" t="inlineStr">
        <is>
          <t>取引先</t>
        </is>
      </c>
      <c r="D5" s="18" t="inlineStr">
        <is>
          <t>区分</t>
        </is>
      </c>
      <c r="E5" s="18" t="inlineStr">
        <is>
          <t>担当</t>
        </is>
      </c>
      <c r="F5" s="18" t="inlineStr">
        <is>
          <t>開始日</t>
        </is>
      </c>
      <c r="G5" s="18" t="inlineStr">
        <is>
          <t>完了日</t>
        </is>
      </c>
      <c r="H5" s="18" t="inlineStr">
        <is>
          <t>状態</t>
        </is>
      </c>
      <c r="I5" s="18" t="inlineStr">
        <is>
          <t>数量
（任意）</t>
        </is>
      </c>
      <c r="J5" s="18" t="inlineStr">
        <is>
          <t>数量の
単位</t>
        </is>
      </c>
      <c r="K5" s="18" t="inlineStr">
        <is>
          <t>受注金額</t>
        </is>
      </c>
      <c r="L5" s="18" t="inlineStr">
        <is>
          <t>材料費</t>
        </is>
      </c>
      <c r="M5" s="18" t="inlineStr">
        <is>
          <t>労務費</t>
        </is>
      </c>
      <c r="N5" s="18" t="inlineStr">
        <is>
          <t>外注費</t>
        </is>
      </c>
      <c r="O5" s="18" t="inlineStr">
        <is>
          <t>経費</t>
        </is>
      </c>
      <c r="P5" s="26" t="inlineStr">
        <is>
          <t>予定原価 計</t>
        </is>
      </c>
      <c r="Q5" s="26" t="inlineStr">
        <is>
          <t>予定粗利</t>
        </is>
      </c>
      <c r="R5" s="26" t="inlineStr">
        <is>
          <t>予定粗利率</t>
        </is>
      </c>
      <c r="S5" s="18" t="inlineStr">
        <is>
          <t>メモ</t>
        </is>
      </c>
      <c r="T5" s="26" t="inlineStr">
        <is>
          <t>確認</t>
        </is>
      </c>
    </row>
    <row r="6" ht="18" customHeight="1">
      <c r="A6" s="15" t="n"/>
      <c r="B6" s="28" t="n"/>
      <c r="C6" s="28" t="n"/>
      <c r="D6" s="28" t="n"/>
      <c r="E6" s="28" t="n"/>
      <c r="F6" s="29" t="n"/>
      <c r="G6" s="29" t="n"/>
      <c r="H6" s="15" t="n"/>
      <c r="I6" s="21" t="n"/>
      <c r="J6" s="15" t="n"/>
      <c r="K6" s="20" t="n"/>
      <c r="L6" s="20" t="n"/>
      <c r="M6" s="20" t="n"/>
      <c r="N6" s="20" t="n"/>
      <c r="O6" s="20" t="n"/>
      <c r="P6" s="30">
        <f>IF(AND(A6="",COUNT(L6:O6)=0),"",SUM(L6:O6))</f>
        <v/>
      </c>
      <c r="Q6" s="31">
        <f>IF(OR(P6="",NOT(ISNUMBER(K6))),"",K6-P6)</f>
        <v/>
      </c>
      <c r="R6" s="32">
        <f>IF(Q6="","",IF(K6&gt;0,Q6/K6,"－"))</f>
        <v/>
      </c>
      <c r="S6" s="33" t="n"/>
      <c r="T6" s="34">
        <f>IF(A6="",IF(COUNTA(B6:O6,S6)&gt;0,"案件番号がありません",""),IF(COUNTIF($A$6:$A$105,A6)&gt;1,"同じ案件番号があります",IF(H6="","状態を選んでください",IF(NOT(OR(H6="見積中",H6="進行中",H6="完了",H6="中止")),"状態は一覧から選びます",IF(AND(H6="完了",NOT(ISNUMBER(G6))),"完了日がありません（月別集計に入りません）",IF(NOT(ISNUMBER(K6)),"受注金額がありません（粗利が出ません）",""))))))</f>
        <v/>
      </c>
    </row>
    <row r="7" ht="18" customHeight="1">
      <c r="A7" s="15" t="n"/>
      <c r="B7" s="28" t="n"/>
      <c r="C7" s="28" t="n"/>
      <c r="D7" s="28" t="n"/>
      <c r="E7" s="28" t="n"/>
      <c r="F7" s="29" t="n"/>
      <c r="G7" s="29" t="n"/>
      <c r="H7" s="15" t="n"/>
      <c r="I7" s="21" t="n"/>
      <c r="J7" s="15" t="n"/>
      <c r="K7" s="20" t="n"/>
      <c r="L7" s="20" t="n"/>
      <c r="M7" s="20" t="n"/>
      <c r="N7" s="20" t="n"/>
      <c r="O7" s="20" t="n"/>
      <c r="P7" s="30">
        <f>IF(AND(A7="",COUNT(L7:O7)=0),"",SUM(L7:O7))</f>
        <v/>
      </c>
      <c r="Q7" s="31">
        <f>IF(OR(P7="",NOT(ISNUMBER(K7))),"",K7-P7)</f>
        <v/>
      </c>
      <c r="R7" s="32">
        <f>IF(Q7="","",IF(K7&gt;0,Q7/K7,"－"))</f>
        <v/>
      </c>
      <c r="S7" s="33" t="n"/>
      <c r="T7" s="34">
        <f>IF(A7="",IF(COUNTA(B7:O7,S7)&gt;0,"案件番号がありません",""),IF(COUNTIF($A$6:$A$105,A7)&gt;1,"同じ案件番号があります",IF(H7="","状態を選んでください",IF(NOT(OR(H7="見積中",H7="進行中",H7="完了",H7="中止")),"状態は一覧から選びます",IF(AND(H7="完了",NOT(ISNUMBER(G7))),"完了日がありません（月別集計に入りません）",IF(NOT(ISNUMBER(K7)),"受注金額がありません（粗利が出ません）",""))))))</f>
        <v/>
      </c>
    </row>
    <row r="8" ht="18" customHeight="1">
      <c r="A8" s="15" t="n"/>
      <c r="B8" s="28" t="n"/>
      <c r="C8" s="28" t="n"/>
      <c r="D8" s="28" t="n"/>
      <c r="E8" s="28" t="n"/>
      <c r="F8" s="29" t="n"/>
      <c r="G8" s="29" t="n"/>
      <c r="H8" s="15" t="n"/>
      <c r="I8" s="21" t="n"/>
      <c r="J8" s="15" t="n"/>
      <c r="K8" s="20" t="n"/>
      <c r="L8" s="20" t="n"/>
      <c r="M8" s="20" t="n"/>
      <c r="N8" s="20" t="n"/>
      <c r="O8" s="20" t="n"/>
      <c r="P8" s="30">
        <f>IF(AND(A8="",COUNT(L8:O8)=0),"",SUM(L8:O8))</f>
        <v/>
      </c>
      <c r="Q8" s="31">
        <f>IF(OR(P8="",NOT(ISNUMBER(K8))),"",K8-P8)</f>
        <v/>
      </c>
      <c r="R8" s="32">
        <f>IF(Q8="","",IF(K8&gt;0,Q8/K8,"－"))</f>
        <v/>
      </c>
      <c r="S8" s="33" t="n"/>
      <c r="T8" s="34">
        <f>IF(A8="",IF(COUNTA(B8:O8,S8)&gt;0,"案件番号がありません",""),IF(COUNTIF($A$6:$A$105,A8)&gt;1,"同じ案件番号があります",IF(H8="","状態を選んでください",IF(NOT(OR(H8="見積中",H8="進行中",H8="完了",H8="中止")),"状態は一覧から選びます",IF(AND(H8="完了",NOT(ISNUMBER(G8))),"完了日がありません（月別集計に入りません）",IF(NOT(ISNUMBER(K8)),"受注金額がありません（粗利が出ません）",""))))))</f>
        <v/>
      </c>
    </row>
    <row r="9" ht="18" customHeight="1">
      <c r="A9" s="15" t="n"/>
      <c r="B9" s="28" t="n"/>
      <c r="C9" s="28" t="n"/>
      <c r="D9" s="28" t="n"/>
      <c r="E9" s="28" t="n"/>
      <c r="F9" s="29" t="n"/>
      <c r="G9" s="29" t="n"/>
      <c r="H9" s="15" t="n"/>
      <c r="I9" s="21" t="n"/>
      <c r="J9" s="15" t="n"/>
      <c r="K9" s="20" t="n"/>
      <c r="L9" s="20" t="n"/>
      <c r="M9" s="20" t="n"/>
      <c r="N9" s="20" t="n"/>
      <c r="O9" s="20" t="n"/>
      <c r="P9" s="30">
        <f>IF(AND(A9="",COUNT(L9:O9)=0),"",SUM(L9:O9))</f>
        <v/>
      </c>
      <c r="Q9" s="31">
        <f>IF(OR(P9="",NOT(ISNUMBER(K9))),"",K9-P9)</f>
        <v/>
      </c>
      <c r="R9" s="32">
        <f>IF(Q9="","",IF(K9&gt;0,Q9/K9,"－"))</f>
        <v/>
      </c>
      <c r="S9" s="33" t="n"/>
      <c r="T9" s="34">
        <f>IF(A9="",IF(COUNTA(B9:O9,S9)&gt;0,"案件番号がありません",""),IF(COUNTIF($A$6:$A$105,A9)&gt;1,"同じ案件番号があります",IF(H9="","状態を選んでください",IF(NOT(OR(H9="見積中",H9="進行中",H9="完了",H9="中止")),"状態は一覧から選びます",IF(AND(H9="完了",NOT(ISNUMBER(G9))),"完了日がありません（月別集計に入りません）",IF(NOT(ISNUMBER(K9)),"受注金額がありません（粗利が出ません）",""))))))</f>
        <v/>
      </c>
    </row>
    <row r="10" ht="18" customHeight="1">
      <c r="A10" s="15" t="n"/>
      <c r="B10" s="28" t="n"/>
      <c r="C10" s="28" t="n"/>
      <c r="D10" s="28" t="n"/>
      <c r="E10" s="28" t="n"/>
      <c r="F10" s="29" t="n"/>
      <c r="G10" s="29" t="n"/>
      <c r="H10" s="15" t="n"/>
      <c r="I10" s="21" t="n"/>
      <c r="J10" s="15" t="n"/>
      <c r="K10" s="20" t="n"/>
      <c r="L10" s="20" t="n"/>
      <c r="M10" s="20" t="n"/>
      <c r="N10" s="20" t="n"/>
      <c r="O10" s="20" t="n"/>
      <c r="P10" s="30">
        <f>IF(AND(A10="",COUNT(L10:O10)=0),"",SUM(L10:O10))</f>
        <v/>
      </c>
      <c r="Q10" s="31">
        <f>IF(OR(P10="",NOT(ISNUMBER(K10))),"",K10-P10)</f>
        <v/>
      </c>
      <c r="R10" s="32">
        <f>IF(Q10="","",IF(K10&gt;0,Q10/K10,"－"))</f>
        <v/>
      </c>
      <c r="S10" s="33" t="n"/>
      <c r="T10" s="34">
        <f>IF(A10="",IF(COUNTA(B10:O10,S10)&gt;0,"案件番号がありません",""),IF(COUNTIF($A$6:$A$105,A10)&gt;1,"同じ案件番号があります",IF(H10="","状態を選んでください",IF(NOT(OR(H10="見積中",H10="進行中",H10="完了",H10="中止")),"状態は一覧から選びます",IF(AND(H10="完了",NOT(ISNUMBER(G10))),"完了日がありません（月別集計に入りません）",IF(NOT(ISNUMBER(K10)),"受注金額がありません（粗利が出ません）",""))))))</f>
        <v/>
      </c>
    </row>
    <row r="11" ht="18" customHeight="1">
      <c r="A11" s="15" t="n"/>
      <c r="B11" s="28" t="n"/>
      <c r="C11" s="28" t="n"/>
      <c r="D11" s="28" t="n"/>
      <c r="E11" s="28" t="n"/>
      <c r="F11" s="29" t="n"/>
      <c r="G11" s="29" t="n"/>
      <c r="H11" s="15" t="n"/>
      <c r="I11" s="21" t="n"/>
      <c r="J11" s="15" t="n"/>
      <c r="K11" s="20" t="n"/>
      <c r="L11" s="20" t="n"/>
      <c r="M11" s="20" t="n"/>
      <c r="N11" s="20" t="n"/>
      <c r="O11" s="20" t="n"/>
      <c r="P11" s="30">
        <f>IF(AND(A11="",COUNT(L11:O11)=0),"",SUM(L11:O11))</f>
        <v/>
      </c>
      <c r="Q11" s="31">
        <f>IF(OR(P11="",NOT(ISNUMBER(K11))),"",K11-P11)</f>
        <v/>
      </c>
      <c r="R11" s="32">
        <f>IF(Q11="","",IF(K11&gt;0,Q11/K11,"－"))</f>
        <v/>
      </c>
      <c r="S11" s="33" t="n"/>
      <c r="T11" s="34">
        <f>IF(A11="",IF(COUNTA(B11:O11,S11)&gt;0,"案件番号がありません",""),IF(COUNTIF($A$6:$A$105,A11)&gt;1,"同じ案件番号があります",IF(H11="","状態を選んでください",IF(NOT(OR(H11="見積中",H11="進行中",H11="完了",H11="中止")),"状態は一覧から選びます",IF(AND(H11="完了",NOT(ISNUMBER(G11))),"完了日がありません（月別集計に入りません）",IF(NOT(ISNUMBER(K11)),"受注金額がありません（粗利が出ません）",""))))))</f>
        <v/>
      </c>
    </row>
    <row r="12" ht="18" customHeight="1">
      <c r="A12" s="15" t="n"/>
      <c r="B12" s="28" t="n"/>
      <c r="C12" s="28" t="n"/>
      <c r="D12" s="28" t="n"/>
      <c r="E12" s="28" t="n"/>
      <c r="F12" s="29" t="n"/>
      <c r="G12" s="29" t="n"/>
      <c r="H12" s="15" t="n"/>
      <c r="I12" s="21" t="n"/>
      <c r="J12" s="15" t="n"/>
      <c r="K12" s="20" t="n"/>
      <c r="L12" s="20" t="n"/>
      <c r="M12" s="20" t="n"/>
      <c r="N12" s="20" t="n"/>
      <c r="O12" s="20" t="n"/>
      <c r="P12" s="30">
        <f>IF(AND(A12="",COUNT(L12:O12)=0),"",SUM(L12:O12))</f>
        <v/>
      </c>
      <c r="Q12" s="31">
        <f>IF(OR(P12="",NOT(ISNUMBER(K12))),"",K12-P12)</f>
        <v/>
      </c>
      <c r="R12" s="32">
        <f>IF(Q12="","",IF(K12&gt;0,Q12/K12,"－"))</f>
        <v/>
      </c>
      <c r="S12" s="33" t="n"/>
      <c r="T12" s="34">
        <f>IF(A12="",IF(COUNTA(B12:O12,S12)&gt;0,"案件番号がありません",""),IF(COUNTIF($A$6:$A$105,A12)&gt;1,"同じ案件番号があります",IF(H12="","状態を選んでください",IF(NOT(OR(H12="見積中",H12="進行中",H12="完了",H12="中止")),"状態は一覧から選びます",IF(AND(H12="完了",NOT(ISNUMBER(G12))),"完了日がありません（月別集計に入りません）",IF(NOT(ISNUMBER(K12)),"受注金額がありません（粗利が出ません）",""))))))</f>
        <v/>
      </c>
    </row>
    <row r="13" ht="18" customHeight="1">
      <c r="A13" s="15" t="n"/>
      <c r="B13" s="28" t="n"/>
      <c r="C13" s="28" t="n"/>
      <c r="D13" s="28" t="n"/>
      <c r="E13" s="28" t="n"/>
      <c r="F13" s="29" t="n"/>
      <c r="G13" s="29" t="n"/>
      <c r="H13" s="15" t="n"/>
      <c r="I13" s="21" t="n"/>
      <c r="J13" s="15" t="n"/>
      <c r="K13" s="20" t="n"/>
      <c r="L13" s="20" t="n"/>
      <c r="M13" s="20" t="n"/>
      <c r="N13" s="20" t="n"/>
      <c r="O13" s="20" t="n"/>
      <c r="P13" s="30">
        <f>IF(AND(A13="",COUNT(L13:O13)=0),"",SUM(L13:O13))</f>
        <v/>
      </c>
      <c r="Q13" s="31">
        <f>IF(OR(P13="",NOT(ISNUMBER(K13))),"",K13-P13)</f>
        <v/>
      </c>
      <c r="R13" s="32">
        <f>IF(Q13="","",IF(K13&gt;0,Q13/K13,"－"))</f>
        <v/>
      </c>
      <c r="S13" s="33" t="n"/>
      <c r="T13" s="34">
        <f>IF(A13="",IF(COUNTA(B13:O13,S13)&gt;0,"案件番号がありません",""),IF(COUNTIF($A$6:$A$105,A13)&gt;1,"同じ案件番号があります",IF(H13="","状態を選んでください",IF(NOT(OR(H13="見積中",H13="進行中",H13="完了",H13="中止")),"状態は一覧から選びます",IF(AND(H13="完了",NOT(ISNUMBER(G13))),"完了日がありません（月別集計に入りません）",IF(NOT(ISNUMBER(K13)),"受注金額がありません（粗利が出ません）",""))))))</f>
        <v/>
      </c>
    </row>
    <row r="14" ht="18" customHeight="1">
      <c r="A14" s="15" t="n"/>
      <c r="B14" s="28" t="n"/>
      <c r="C14" s="28" t="n"/>
      <c r="D14" s="28" t="n"/>
      <c r="E14" s="28" t="n"/>
      <c r="F14" s="29" t="n"/>
      <c r="G14" s="29" t="n"/>
      <c r="H14" s="15" t="n"/>
      <c r="I14" s="21" t="n"/>
      <c r="J14" s="15" t="n"/>
      <c r="K14" s="20" t="n"/>
      <c r="L14" s="20" t="n"/>
      <c r="M14" s="20" t="n"/>
      <c r="N14" s="20" t="n"/>
      <c r="O14" s="20" t="n"/>
      <c r="P14" s="30">
        <f>IF(AND(A14="",COUNT(L14:O14)=0),"",SUM(L14:O14))</f>
        <v/>
      </c>
      <c r="Q14" s="31">
        <f>IF(OR(P14="",NOT(ISNUMBER(K14))),"",K14-P14)</f>
        <v/>
      </c>
      <c r="R14" s="32">
        <f>IF(Q14="","",IF(K14&gt;0,Q14/K14,"－"))</f>
        <v/>
      </c>
      <c r="S14" s="33" t="n"/>
      <c r="T14" s="34">
        <f>IF(A14="",IF(COUNTA(B14:O14,S14)&gt;0,"案件番号がありません",""),IF(COUNTIF($A$6:$A$105,A14)&gt;1,"同じ案件番号があります",IF(H14="","状態を選んでください",IF(NOT(OR(H14="見積中",H14="進行中",H14="完了",H14="中止")),"状態は一覧から選びます",IF(AND(H14="完了",NOT(ISNUMBER(G14))),"完了日がありません（月別集計に入りません）",IF(NOT(ISNUMBER(K14)),"受注金額がありません（粗利が出ません）",""))))))</f>
        <v/>
      </c>
    </row>
    <row r="15" ht="18" customHeight="1">
      <c r="A15" s="15" t="n"/>
      <c r="B15" s="28" t="n"/>
      <c r="C15" s="28" t="n"/>
      <c r="D15" s="28" t="n"/>
      <c r="E15" s="28" t="n"/>
      <c r="F15" s="29" t="n"/>
      <c r="G15" s="29" t="n"/>
      <c r="H15" s="15" t="n"/>
      <c r="I15" s="21" t="n"/>
      <c r="J15" s="15" t="n"/>
      <c r="K15" s="20" t="n"/>
      <c r="L15" s="20" t="n"/>
      <c r="M15" s="20" t="n"/>
      <c r="N15" s="20" t="n"/>
      <c r="O15" s="20" t="n"/>
      <c r="P15" s="30">
        <f>IF(AND(A15="",COUNT(L15:O15)=0),"",SUM(L15:O15))</f>
        <v/>
      </c>
      <c r="Q15" s="31">
        <f>IF(OR(P15="",NOT(ISNUMBER(K15))),"",K15-P15)</f>
        <v/>
      </c>
      <c r="R15" s="32">
        <f>IF(Q15="","",IF(K15&gt;0,Q15/K15,"－"))</f>
        <v/>
      </c>
      <c r="S15" s="33" t="n"/>
      <c r="T15" s="34">
        <f>IF(A15="",IF(COUNTA(B15:O15,S15)&gt;0,"案件番号がありません",""),IF(COUNTIF($A$6:$A$105,A15)&gt;1,"同じ案件番号があります",IF(H15="","状態を選んでください",IF(NOT(OR(H15="見積中",H15="進行中",H15="完了",H15="中止")),"状態は一覧から選びます",IF(AND(H15="完了",NOT(ISNUMBER(G15))),"完了日がありません（月別集計に入りません）",IF(NOT(ISNUMBER(K15)),"受注金額がありません（粗利が出ません）",""))))))</f>
        <v/>
      </c>
    </row>
    <row r="16" ht="18" customHeight="1">
      <c r="A16" s="15" t="n"/>
      <c r="B16" s="28" t="n"/>
      <c r="C16" s="28" t="n"/>
      <c r="D16" s="28" t="n"/>
      <c r="E16" s="28" t="n"/>
      <c r="F16" s="29" t="n"/>
      <c r="G16" s="29" t="n"/>
      <c r="H16" s="15" t="n"/>
      <c r="I16" s="21" t="n"/>
      <c r="J16" s="15" t="n"/>
      <c r="K16" s="20" t="n"/>
      <c r="L16" s="20" t="n"/>
      <c r="M16" s="20" t="n"/>
      <c r="N16" s="20" t="n"/>
      <c r="O16" s="20" t="n"/>
      <c r="P16" s="30">
        <f>IF(AND(A16="",COUNT(L16:O16)=0),"",SUM(L16:O16))</f>
        <v/>
      </c>
      <c r="Q16" s="31">
        <f>IF(OR(P16="",NOT(ISNUMBER(K16))),"",K16-P16)</f>
        <v/>
      </c>
      <c r="R16" s="32">
        <f>IF(Q16="","",IF(K16&gt;0,Q16/K16,"－"))</f>
        <v/>
      </c>
      <c r="S16" s="33" t="n"/>
      <c r="T16" s="34">
        <f>IF(A16="",IF(COUNTA(B16:O16,S16)&gt;0,"案件番号がありません",""),IF(COUNTIF($A$6:$A$105,A16)&gt;1,"同じ案件番号があります",IF(H16="","状態を選んでください",IF(NOT(OR(H16="見積中",H16="進行中",H16="完了",H16="中止")),"状態は一覧から選びます",IF(AND(H16="完了",NOT(ISNUMBER(G16))),"完了日がありません（月別集計に入りません）",IF(NOT(ISNUMBER(K16)),"受注金額がありません（粗利が出ません）",""))))))</f>
        <v/>
      </c>
    </row>
    <row r="17" ht="18" customHeight="1">
      <c r="A17" s="15" t="n"/>
      <c r="B17" s="28" t="n"/>
      <c r="C17" s="28" t="n"/>
      <c r="D17" s="28" t="n"/>
      <c r="E17" s="28" t="n"/>
      <c r="F17" s="29" t="n"/>
      <c r="G17" s="29" t="n"/>
      <c r="H17" s="15" t="n"/>
      <c r="I17" s="21" t="n"/>
      <c r="J17" s="15" t="n"/>
      <c r="K17" s="20" t="n"/>
      <c r="L17" s="20" t="n"/>
      <c r="M17" s="20" t="n"/>
      <c r="N17" s="20" t="n"/>
      <c r="O17" s="20" t="n"/>
      <c r="P17" s="30">
        <f>IF(AND(A17="",COUNT(L17:O17)=0),"",SUM(L17:O17))</f>
        <v/>
      </c>
      <c r="Q17" s="31">
        <f>IF(OR(P17="",NOT(ISNUMBER(K17))),"",K17-P17)</f>
        <v/>
      </c>
      <c r="R17" s="32">
        <f>IF(Q17="","",IF(K17&gt;0,Q17/K17,"－"))</f>
        <v/>
      </c>
      <c r="S17" s="33" t="n"/>
      <c r="T17" s="34">
        <f>IF(A17="",IF(COUNTA(B17:O17,S17)&gt;0,"案件番号がありません",""),IF(COUNTIF($A$6:$A$105,A17)&gt;1,"同じ案件番号があります",IF(H17="","状態を選んでください",IF(NOT(OR(H17="見積中",H17="進行中",H17="完了",H17="中止")),"状態は一覧から選びます",IF(AND(H17="完了",NOT(ISNUMBER(G17))),"完了日がありません（月別集計に入りません）",IF(NOT(ISNUMBER(K17)),"受注金額がありません（粗利が出ません）",""))))))</f>
        <v/>
      </c>
    </row>
    <row r="18" ht="18" customHeight="1">
      <c r="A18" s="15" t="n"/>
      <c r="B18" s="28" t="n"/>
      <c r="C18" s="28" t="n"/>
      <c r="D18" s="28" t="n"/>
      <c r="E18" s="28" t="n"/>
      <c r="F18" s="29" t="n"/>
      <c r="G18" s="29" t="n"/>
      <c r="H18" s="15" t="n"/>
      <c r="I18" s="21" t="n"/>
      <c r="J18" s="15" t="n"/>
      <c r="K18" s="20" t="n"/>
      <c r="L18" s="20" t="n"/>
      <c r="M18" s="20" t="n"/>
      <c r="N18" s="20" t="n"/>
      <c r="O18" s="20" t="n"/>
      <c r="P18" s="30">
        <f>IF(AND(A18="",COUNT(L18:O18)=0),"",SUM(L18:O18))</f>
        <v/>
      </c>
      <c r="Q18" s="31">
        <f>IF(OR(P18="",NOT(ISNUMBER(K18))),"",K18-P18)</f>
        <v/>
      </c>
      <c r="R18" s="32">
        <f>IF(Q18="","",IF(K18&gt;0,Q18/K18,"－"))</f>
        <v/>
      </c>
      <c r="S18" s="33" t="n"/>
      <c r="T18" s="34">
        <f>IF(A18="",IF(COUNTA(B18:O18,S18)&gt;0,"案件番号がありません",""),IF(COUNTIF($A$6:$A$105,A18)&gt;1,"同じ案件番号があります",IF(H18="","状態を選んでください",IF(NOT(OR(H18="見積中",H18="進行中",H18="完了",H18="中止")),"状態は一覧から選びます",IF(AND(H18="完了",NOT(ISNUMBER(G18))),"完了日がありません（月別集計に入りません）",IF(NOT(ISNUMBER(K18)),"受注金額がありません（粗利が出ません）",""))))))</f>
        <v/>
      </c>
    </row>
    <row r="19" ht="18" customHeight="1">
      <c r="A19" s="15" t="n"/>
      <c r="B19" s="28" t="n"/>
      <c r="C19" s="28" t="n"/>
      <c r="D19" s="28" t="n"/>
      <c r="E19" s="28" t="n"/>
      <c r="F19" s="29" t="n"/>
      <c r="G19" s="29" t="n"/>
      <c r="H19" s="15" t="n"/>
      <c r="I19" s="21" t="n"/>
      <c r="J19" s="15" t="n"/>
      <c r="K19" s="20" t="n"/>
      <c r="L19" s="20" t="n"/>
      <c r="M19" s="20" t="n"/>
      <c r="N19" s="20" t="n"/>
      <c r="O19" s="20" t="n"/>
      <c r="P19" s="30">
        <f>IF(AND(A19="",COUNT(L19:O19)=0),"",SUM(L19:O19))</f>
        <v/>
      </c>
      <c r="Q19" s="31">
        <f>IF(OR(P19="",NOT(ISNUMBER(K19))),"",K19-P19)</f>
        <v/>
      </c>
      <c r="R19" s="32">
        <f>IF(Q19="","",IF(K19&gt;0,Q19/K19,"－"))</f>
        <v/>
      </c>
      <c r="S19" s="33" t="n"/>
      <c r="T19" s="34">
        <f>IF(A19="",IF(COUNTA(B19:O19,S19)&gt;0,"案件番号がありません",""),IF(COUNTIF($A$6:$A$105,A19)&gt;1,"同じ案件番号があります",IF(H19="","状態を選んでください",IF(NOT(OR(H19="見積中",H19="進行中",H19="完了",H19="中止")),"状態は一覧から選びます",IF(AND(H19="完了",NOT(ISNUMBER(G19))),"完了日がありません（月別集計に入りません）",IF(NOT(ISNUMBER(K19)),"受注金額がありません（粗利が出ません）",""))))))</f>
        <v/>
      </c>
    </row>
    <row r="20" ht="18" customHeight="1">
      <c r="A20" s="15" t="n"/>
      <c r="B20" s="28" t="n"/>
      <c r="C20" s="28" t="n"/>
      <c r="D20" s="28" t="n"/>
      <c r="E20" s="28" t="n"/>
      <c r="F20" s="29" t="n"/>
      <c r="G20" s="29" t="n"/>
      <c r="H20" s="15" t="n"/>
      <c r="I20" s="21" t="n"/>
      <c r="J20" s="15" t="n"/>
      <c r="K20" s="20" t="n"/>
      <c r="L20" s="20" t="n"/>
      <c r="M20" s="20" t="n"/>
      <c r="N20" s="20" t="n"/>
      <c r="O20" s="20" t="n"/>
      <c r="P20" s="30">
        <f>IF(AND(A20="",COUNT(L20:O20)=0),"",SUM(L20:O20))</f>
        <v/>
      </c>
      <c r="Q20" s="31">
        <f>IF(OR(P20="",NOT(ISNUMBER(K20))),"",K20-P20)</f>
        <v/>
      </c>
      <c r="R20" s="32">
        <f>IF(Q20="","",IF(K20&gt;0,Q20/K20,"－"))</f>
        <v/>
      </c>
      <c r="S20" s="33" t="n"/>
      <c r="T20" s="34">
        <f>IF(A20="",IF(COUNTA(B20:O20,S20)&gt;0,"案件番号がありません",""),IF(COUNTIF($A$6:$A$105,A20)&gt;1,"同じ案件番号があります",IF(H20="","状態を選んでください",IF(NOT(OR(H20="見積中",H20="進行中",H20="完了",H20="中止")),"状態は一覧から選びます",IF(AND(H20="完了",NOT(ISNUMBER(G20))),"完了日がありません（月別集計に入りません）",IF(NOT(ISNUMBER(K20)),"受注金額がありません（粗利が出ません）",""))))))</f>
        <v/>
      </c>
    </row>
    <row r="21" ht="18" customHeight="1">
      <c r="A21" s="15" t="n"/>
      <c r="B21" s="28" t="n"/>
      <c r="C21" s="28" t="n"/>
      <c r="D21" s="28" t="n"/>
      <c r="E21" s="28" t="n"/>
      <c r="F21" s="29" t="n"/>
      <c r="G21" s="29" t="n"/>
      <c r="H21" s="15" t="n"/>
      <c r="I21" s="21" t="n"/>
      <c r="J21" s="15" t="n"/>
      <c r="K21" s="20" t="n"/>
      <c r="L21" s="20" t="n"/>
      <c r="M21" s="20" t="n"/>
      <c r="N21" s="20" t="n"/>
      <c r="O21" s="20" t="n"/>
      <c r="P21" s="30">
        <f>IF(AND(A21="",COUNT(L21:O21)=0),"",SUM(L21:O21))</f>
        <v/>
      </c>
      <c r="Q21" s="31">
        <f>IF(OR(P21="",NOT(ISNUMBER(K21))),"",K21-P21)</f>
        <v/>
      </c>
      <c r="R21" s="32">
        <f>IF(Q21="","",IF(K21&gt;0,Q21/K21,"－"))</f>
        <v/>
      </c>
      <c r="S21" s="33" t="n"/>
      <c r="T21" s="34">
        <f>IF(A21="",IF(COUNTA(B21:O21,S21)&gt;0,"案件番号がありません",""),IF(COUNTIF($A$6:$A$105,A21)&gt;1,"同じ案件番号があります",IF(H21="","状態を選んでください",IF(NOT(OR(H21="見積中",H21="進行中",H21="完了",H21="中止")),"状態は一覧から選びます",IF(AND(H21="完了",NOT(ISNUMBER(G21))),"完了日がありません（月別集計に入りません）",IF(NOT(ISNUMBER(K21)),"受注金額がありません（粗利が出ません）",""))))))</f>
        <v/>
      </c>
    </row>
    <row r="22" ht="18" customHeight="1">
      <c r="A22" s="15" t="n"/>
      <c r="B22" s="28" t="n"/>
      <c r="C22" s="28" t="n"/>
      <c r="D22" s="28" t="n"/>
      <c r="E22" s="28" t="n"/>
      <c r="F22" s="29" t="n"/>
      <c r="G22" s="29" t="n"/>
      <c r="H22" s="15" t="n"/>
      <c r="I22" s="21" t="n"/>
      <c r="J22" s="15" t="n"/>
      <c r="K22" s="20" t="n"/>
      <c r="L22" s="20" t="n"/>
      <c r="M22" s="20" t="n"/>
      <c r="N22" s="20" t="n"/>
      <c r="O22" s="20" t="n"/>
      <c r="P22" s="30">
        <f>IF(AND(A22="",COUNT(L22:O22)=0),"",SUM(L22:O22))</f>
        <v/>
      </c>
      <c r="Q22" s="31">
        <f>IF(OR(P22="",NOT(ISNUMBER(K22))),"",K22-P22)</f>
        <v/>
      </c>
      <c r="R22" s="32">
        <f>IF(Q22="","",IF(K22&gt;0,Q22/K22,"－"))</f>
        <v/>
      </c>
      <c r="S22" s="33" t="n"/>
      <c r="T22" s="34">
        <f>IF(A22="",IF(COUNTA(B22:O22,S22)&gt;0,"案件番号がありません",""),IF(COUNTIF($A$6:$A$105,A22)&gt;1,"同じ案件番号があります",IF(H22="","状態を選んでください",IF(NOT(OR(H22="見積中",H22="進行中",H22="完了",H22="中止")),"状態は一覧から選びます",IF(AND(H22="完了",NOT(ISNUMBER(G22))),"完了日がありません（月別集計に入りません）",IF(NOT(ISNUMBER(K22)),"受注金額がありません（粗利が出ません）",""))))))</f>
        <v/>
      </c>
    </row>
    <row r="23" ht="18" customHeight="1">
      <c r="A23" s="15" t="n"/>
      <c r="B23" s="28" t="n"/>
      <c r="C23" s="28" t="n"/>
      <c r="D23" s="28" t="n"/>
      <c r="E23" s="28" t="n"/>
      <c r="F23" s="29" t="n"/>
      <c r="G23" s="29" t="n"/>
      <c r="H23" s="15" t="n"/>
      <c r="I23" s="21" t="n"/>
      <c r="J23" s="15" t="n"/>
      <c r="K23" s="20" t="n"/>
      <c r="L23" s="20" t="n"/>
      <c r="M23" s="20" t="n"/>
      <c r="N23" s="20" t="n"/>
      <c r="O23" s="20" t="n"/>
      <c r="P23" s="30">
        <f>IF(AND(A23="",COUNT(L23:O23)=0),"",SUM(L23:O23))</f>
        <v/>
      </c>
      <c r="Q23" s="31">
        <f>IF(OR(P23="",NOT(ISNUMBER(K23))),"",K23-P23)</f>
        <v/>
      </c>
      <c r="R23" s="32">
        <f>IF(Q23="","",IF(K23&gt;0,Q23/K23,"－"))</f>
        <v/>
      </c>
      <c r="S23" s="33" t="n"/>
      <c r="T23" s="34">
        <f>IF(A23="",IF(COUNTA(B23:O23,S23)&gt;0,"案件番号がありません",""),IF(COUNTIF($A$6:$A$105,A23)&gt;1,"同じ案件番号があります",IF(H23="","状態を選んでください",IF(NOT(OR(H23="見積中",H23="進行中",H23="完了",H23="中止")),"状態は一覧から選びます",IF(AND(H23="完了",NOT(ISNUMBER(G23))),"完了日がありません（月別集計に入りません）",IF(NOT(ISNUMBER(K23)),"受注金額がありません（粗利が出ません）",""))))))</f>
        <v/>
      </c>
    </row>
    <row r="24" ht="18" customHeight="1">
      <c r="A24" s="15" t="n"/>
      <c r="B24" s="28" t="n"/>
      <c r="C24" s="28" t="n"/>
      <c r="D24" s="28" t="n"/>
      <c r="E24" s="28" t="n"/>
      <c r="F24" s="29" t="n"/>
      <c r="G24" s="29" t="n"/>
      <c r="H24" s="15" t="n"/>
      <c r="I24" s="21" t="n"/>
      <c r="J24" s="15" t="n"/>
      <c r="K24" s="20" t="n"/>
      <c r="L24" s="20" t="n"/>
      <c r="M24" s="20" t="n"/>
      <c r="N24" s="20" t="n"/>
      <c r="O24" s="20" t="n"/>
      <c r="P24" s="30">
        <f>IF(AND(A24="",COUNT(L24:O24)=0),"",SUM(L24:O24))</f>
        <v/>
      </c>
      <c r="Q24" s="31">
        <f>IF(OR(P24="",NOT(ISNUMBER(K24))),"",K24-P24)</f>
        <v/>
      </c>
      <c r="R24" s="32">
        <f>IF(Q24="","",IF(K24&gt;0,Q24/K24,"－"))</f>
        <v/>
      </c>
      <c r="S24" s="33" t="n"/>
      <c r="T24" s="34">
        <f>IF(A24="",IF(COUNTA(B24:O24,S24)&gt;0,"案件番号がありません",""),IF(COUNTIF($A$6:$A$105,A24)&gt;1,"同じ案件番号があります",IF(H24="","状態を選んでください",IF(NOT(OR(H24="見積中",H24="進行中",H24="完了",H24="中止")),"状態は一覧から選びます",IF(AND(H24="完了",NOT(ISNUMBER(G24))),"完了日がありません（月別集計に入りません）",IF(NOT(ISNUMBER(K24)),"受注金額がありません（粗利が出ません）",""))))))</f>
        <v/>
      </c>
    </row>
    <row r="25" ht="18" customHeight="1">
      <c r="A25" s="15" t="n"/>
      <c r="B25" s="28" t="n"/>
      <c r="C25" s="28" t="n"/>
      <c r="D25" s="28" t="n"/>
      <c r="E25" s="28" t="n"/>
      <c r="F25" s="29" t="n"/>
      <c r="G25" s="29" t="n"/>
      <c r="H25" s="15" t="n"/>
      <c r="I25" s="21" t="n"/>
      <c r="J25" s="15" t="n"/>
      <c r="K25" s="20" t="n"/>
      <c r="L25" s="20" t="n"/>
      <c r="M25" s="20" t="n"/>
      <c r="N25" s="20" t="n"/>
      <c r="O25" s="20" t="n"/>
      <c r="P25" s="30">
        <f>IF(AND(A25="",COUNT(L25:O25)=0),"",SUM(L25:O25))</f>
        <v/>
      </c>
      <c r="Q25" s="31">
        <f>IF(OR(P25="",NOT(ISNUMBER(K25))),"",K25-P25)</f>
        <v/>
      </c>
      <c r="R25" s="32">
        <f>IF(Q25="","",IF(K25&gt;0,Q25/K25,"－"))</f>
        <v/>
      </c>
      <c r="S25" s="33" t="n"/>
      <c r="T25" s="34">
        <f>IF(A25="",IF(COUNTA(B25:O25,S25)&gt;0,"案件番号がありません",""),IF(COUNTIF($A$6:$A$105,A25)&gt;1,"同じ案件番号があります",IF(H25="","状態を選んでください",IF(NOT(OR(H25="見積中",H25="進行中",H25="完了",H25="中止")),"状態は一覧から選びます",IF(AND(H25="完了",NOT(ISNUMBER(G25))),"完了日がありません（月別集計に入りません）",IF(NOT(ISNUMBER(K25)),"受注金額がありません（粗利が出ません）",""))))))</f>
        <v/>
      </c>
    </row>
    <row r="26" ht="18" customHeight="1">
      <c r="A26" s="15" t="n"/>
      <c r="B26" s="28" t="n"/>
      <c r="C26" s="28" t="n"/>
      <c r="D26" s="28" t="n"/>
      <c r="E26" s="28" t="n"/>
      <c r="F26" s="29" t="n"/>
      <c r="G26" s="29" t="n"/>
      <c r="H26" s="15" t="n"/>
      <c r="I26" s="21" t="n"/>
      <c r="J26" s="15" t="n"/>
      <c r="K26" s="20" t="n"/>
      <c r="L26" s="20" t="n"/>
      <c r="M26" s="20" t="n"/>
      <c r="N26" s="20" t="n"/>
      <c r="O26" s="20" t="n"/>
      <c r="P26" s="30">
        <f>IF(AND(A26="",COUNT(L26:O26)=0),"",SUM(L26:O26))</f>
        <v/>
      </c>
      <c r="Q26" s="31">
        <f>IF(OR(P26="",NOT(ISNUMBER(K26))),"",K26-P26)</f>
        <v/>
      </c>
      <c r="R26" s="32">
        <f>IF(Q26="","",IF(K26&gt;0,Q26/K26,"－"))</f>
        <v/>
      </c>
      <c r="S26" s="33" t="n"/>
      <c r="T26" s="34">
        <f>IF(A26="",IF(COUNTA(B26:O26,S26)&gt;0,"案件番号がありません",""),IF(COUNTIF($A$6:$A$105,A26)&gt;1,"同じ案件番号があります",IF(H26="","状態を選んでください",IF(NOT(OR(H26="見積中",H26="進行中",H26="完了",H26="中止")),"状態は一覧から選びます",IF(AND(H26="完了",NOT(ISNUMBER(G26))),"完了日がありません（月別集計に入りません）",IF(NOT(ISNUMBER(K26)),"受注金額がありません（粗利が出ません）",""))))))</f>
        <v/>
      </c>
    </row>
    <row r="27" ht="18" customHeight="1">
      <c r="A27" s="15" t="n"/>
      <c r="B27" s="28" t="n"/>
      <c r="C27" s="28" t="n"/>
      <c r="D27" s="28" t="n"/>
      <c r="E27" s="28" t="n"/>
      <c r="F27" s="29" t="n"/>
      <c r="G27" s="29" t="n"/>
      <c r="H27" s="15" t="n"/>
      <c r="I27" s="21" t="n"/>
      <c r="J27" s="15" t="n"/>
      <c r="K27" s="20" t="n"/>
      <c r="L27" s="20" t="n"/>
      <c r="M27" s="20" t="n"/>
      <c r="N27" s="20" t="n"/>
      <c r="O27" s="20" t="n"/>
      <c r="P27" s="30">
        <f>IF(AND(A27="",COUNT(L27:O27)=0),"",SUM(L27:O27))</f>
        <v/>
      </c>
      <c r="Q27" s="31">
        <f>IF(OR(P27="",NOT(ISNUMBER(K27))),"",K27-P27)</f>
        <v/>
      </c>
      <c r="R27" s="32">
        <f>IF(Q27="","",IF(K27&gt;0,Q27/K27,"－"))</f>
        <v/>
      </c>
      <c r="S27" s="33" t="n"/>
      <c r="T27" s="34">
        <f>IF(A27="",IF(COUNTA(B27:O27,S27)&gt;0,"案件番号がありません",""),IF(COUNTIF($A$6:$A$105,A27)&gt;1,"同じ案件番号があります",IF(H27="","状態を選んでください",IF(NOT(OR(H27="見積中",H27="進行中",H27="完了",H27="中止")),"状態は一覧から選びます",IF(AND(H27="完了",NOT(ISNUMBER(G27))),"完了日がありません（月別集計に入りません）",IF(NOT(ISNUMBER(K27)),"受注金額がありません（粗利が出ません）",""))))))</f>
        <v/>
      </c>
    </row>
    <row r="28" ht="18" customHeight="1">
      <c r="A28" s="15" t="n"/>
      <c r="B28" s="28" t="n"/>
      <c r="C28" s="28" t="n"/>
      <c r="D28" s="28" t="n"/>
      <c r="E28" s="28" t="n"/>
      <c r="F28" s="29" t="n"/>
      <c r="G28" s="29" t="n"/>
      <c r="H28" s="15" t="n"/>
      <c r="I28" s="21" t="n"/>
      <c r="J28" s="15" t="n"/>
      <c r="K28" s="20" t="n"/>
      <c r="L28" s="20" t="n"/>
      <c r="M28" s="20" t="n"/>
      <c r="N28" s="20" t="n"/>
      <c r="O28" s="20" t="n"/>
      <c r="P28" s="30">
        <f>IF(AND(A28="",COUNT(L28:O28)=0),"",SUM(L28:O28))</f>
        <v/>
      </c>
      <c r="Q28" s="31">
        <f>IF(OR(P28="",NOT(ISNUMBER(K28))),"",K28-P28)</f>
        <v/>
      </c>
      <c r="R28" s="32">
        <f>IF(Q28="","",IF(K28&gt;0,Q28/K28,"－"))</f>
        <v/>
      </c>
      <c r="S28" s="33" t="n"/>
      <c r="T28" s="34">
        <f>IF(A28="",IF(COUNTA(B28:O28,S28)&gt;0,"案件番号がありません",""),IF(COUNTIF($A$6:$A$105,A28)&gt;1,"同じ案件番号があります",IF(H28="","状態を選んでください",IF(NOT(OR(H28="見積中",H28="進行中",H28="完了",H28="中止")),"状態は一覧から選びます",IF(AND(H28="完了",NOT(ISNUMBER(G28))),"完了日がありません（月別集計に入りません）",IF(NOT(ISNUMBER(K28)),"受注金額がありません（粗利が出ません）",""))))))</f>
        <v/>
      </c>
    </row>
    <row r="29" ht="18" customHeight="1">
      <c r="A29" s="15" t="n"/>
      <c r="B29" s="28" t="n"/>
      <c r="C29" s="28" t="n"/>
      <c r="D29" s="28" t="n"/>
      <c r="E29" s="28" t="n"/>
      <c r="F29" s="29" t="n"/>
      <c r="G29" s="29" t="n"/>
      <c r="H29" s="15" t="n"/>
      <c r="I29" s="21" t="n"/>
      <c r="J29" s="15" t="n"/>
      <c r="K29" s="20" t="n"/>
      <c r="L29" s="20" t="n"/>
      <c r="M29" s="20" t="n"/>
      <c r="N29" s="20" t="n"/>
      <c r="O29" s="20" t="n"/>
      <c r="P29" s="30">
        <f>IF(AND(A29="",COUNT(L29:O29)=0),"",SUM(L29:O29))</f>
        <v/>
      </c>
      <c r="Q29" s="31">
        <f>IF(OR(P29="",NOT(ISNUMBER(K29))),"",K29-P29)</f>
        <v/>
      </c>
      <c r="R29" s="32">
        <f>IF(Q29="","",IF(K29&gt;0,Q29/K29,"－"))</f>
        <v/>
      </c>
      <c r="S29" s="33" t="n"/>
      <c r="T29" s="34">
        <f>IF(A29="",IF(COUNTA(B29:O29,S29)&gt;0,"案件番号がありません",""),IF(COUNTIF($A$6:$A$105,A29)&gt;1,"同じ案件番号があります",IF(H29="","状態を選んでください",IF(NOT(OR(H29="見積中",H29="進行中",H29="完了",H29="中止")),"状態は一覧から選びます",IF(AND(H29="完了",NOT(ISNUMBER(G29))),"完了日がありません（月別集計に入りません）",IF(NOT(ISNUMBER(K29)),"受注金額がありません（粗利が出ません）",""))))))</f>
        <v/>
      </c>
    </row>
    <row r="30" ht="18" customHeight="1">
      <c r="A30" s="15" t="n"/>
      <c r="B30" s="28" t="n"/>
      <c r="C30" s="28" t="n"/>
      <c r="D30" s="28" t="n"/>
      <c r="E30" s="28" t="n"/>
      <c r="F30" s="29" t="n"/>
      <c r="G30" s="29" t="n"/>
      <c r="H30" s="15" t="n"/>
      <c r="I30" s="21" t="n"/>
      <c r="J30" s="15" t="n"/>
      <c r="K30" s="20" t="n"/>
      <c r="L30" s="20" t="n"/>
      <c r="M30" s="20" t="n"/>
      <c r="N30" s="20" t="n"/>
      <c r="O30" s="20" t="n"/>
      <c r="P30" s="30">
        <f>IF(AND(A30="",COUNT(L30:O30)=0),"",SUM(L30:O30))</f>
        <v/>
      </c>
      <c r="Q30" s="31">
        <f>IF(OR(P30="",NOT(ISNUMBER(K30))),"",K30-P30)</f>
        <v/>
      </c>
      <c r="R30" s="32">
        <f>IF(Q30="","",IF(K30&gt;0,Q30/K30,"－"))</f>
        <v/>
      </c>
      <c r="S30" s="33" t="n"/>
      <c r="T30" s="34">
        <f>IF(A30="",IF(COUNTA(B30:O30,S30)&gt;0,"案件番号がありません",""),IF(COUNTIF($A$6:$A$105,A30)&gt;1,"同じ案件番号があります",IF(H30="","状態を選んでください",IF(NOT(OR(H30="見積中",H30="進行中",H30="完了",H30="中止")),"状態は一覧から選びます",IF(AND(H30="完了",NOT(ISNUMBER(G30))),"完了日がありません（月別集計に入りません）",IF(NOT(ISNUMBER(K30)),"受注金額がありません（粗利が出ません）",""))))))</f>
        <v/>
      </c>
    </row>
    <row r="31" ht="18" customHeight="1">
      <c r="A31" s="15" t="n"/>
      <c r="B31" s="28" t="n"/>
      <c r="C31" s="28" t="n"/>
      <c r="D31" s="28" t="n"/>
      <c r="E31" s="28" t="n"/>
      <c r="F31" s="29" t="n"/>
      <c r="G31" s="29" t="n"/>
      <c r="H31" s="15" t="n"/>
      <c r="I31" s="21" t="n"/>
      <c r="J31" s="15" t="n"/>
      <c r="K31" s="20" t="n"/>
      <c r="L31" s="20" t="n"/>
      <c r="M31" s="20" t="n"/>
      <c r="N31" s="20" t="n"/>
      <c r="O31" s="20" t="n"/>
      <c r="P31" s="30">
        <f>IF(AND(A31="",COUNT(L31:O31)=0),"",SUM(L31:O31))</f>
        <v/>
      </c>
      <c r="Q31" s="31">
        <f>IF(OR(P31="",NOT(ISNUMBER(K31))),"",K31-P31)</f>
        <v/>
      </c>
      <c r="R31" s="32">
        <f>IF(Q31="","",IF(K31&gt;0,Q31/K31,"－"))</f>
        <v/>
      </c>
      <c r="S31" s="33" t="n"/>
      <c r="T31" s="34">
        <f>IF(A31="",IF(COUNTA(B31:O31,S31)&gt;0,"案件番号がありません",""),IF(COUNTIF($A$6:$A$105,A31)&gt;1,"同じ案件番号があります",IF(H31="","状態を選んでください",IF(NOT(OR(H31="見積中",H31="進行中",H31="完了",H31="中止")),"状態は一覧から選びます",IF(AND(H31="完了",NOT(ISNUMBER(G31))),"完了日がありません（月別集計に入りません）",IF(NOT(ISNUMBER(K31)),"受注金額がありません（粗利が出ません）",""))))))</f>
        <v/>
      </c>
    </row>
    <row r="32" ht="18" customHeight="1">
      <c r="A32" s="15" t="n"/>
      <c r="B32" s="28" t="n"/>
      <c r="C32" s="28" t="n"/>
      <c r="D32" s="28" t="n"/>
      <c r="E32" s="28" t="n"/>
      <c r="F32" s="29" t="n"/>
      <c r="G32" s="29" t="n"/>
      <c r="H32" s="15" t="n"/>
      <c r="I32" s="21" t="n"/>
      <c r="J32" s="15" t="n"/>
      <c r="K32" s="20" t="n"/>
      <c r="L32" s="20" t="n"/>
      <c r="M32" s="20" t="n"/>
      <c r="N32" s="20" t="n"/>
      <c r="O32" s="20" t="n"/>
      <c r="P32" s="30">
        <f>IF(AND(A32="",COUNT(L32:O32)=0),"",SUM(L32:O32))</f>
        <v/>
      </c>
      <c r="Q32" s="31">
        <f>IF(OR(P32="",NOT(ISNUMBER(K32))),"",K32-P32)</f>
        <v/>
      </c>
      <c r="R32" s="32">
        <f>IF(Q32="","",IF(K32&gt;0,Q32/K32,"－"))</f>
        <v/>
      </c>
      <c r="S32" s="33" t="n"/>
      <c r="T32" s="34">
        <f>IF(A32="",IF(COUNTA(B32:O32,S32)&gt;0,"案件番号がありません",""),IF(COUNTIF($A$6:$A$105,A32)&gt;1,"同じ案件番号があります",IF(H32="","状態を選んでください",IF(NOT(OR(H32="見積中",H32="進行中",H32="完了",H32="中止")),"状態は一覧から選びます",IF(AND(H32="完了",NOT(ISNUMBER(G32))),"完了日がありません（月別集計に入りません）",IF(NOT(ISNUMBER(K32)),"受注金額がありません（粗利が出ません）",""))))))</f>
        <v/>
      </c>
    </row>
    <row r="33" ht="18" customHeight="1">
      <c r="A33" s="15" t="n"/>
      <c r="B33" s="28" t="n"/>
      <c r="C33" s="28" t="n"/>
      <c r="D33" s="28" t="n"/>
      <c r="E33" s="28" t="n"/>
      <c r="F33" s="29" t="n"/>
      <c r="G33" s="29" t="n"/>
      <c r="H33" s="15" t="n"/>
      <c r="I33" s="21" t="n"/>
      <c r="J33" s="15" t="n"/>
      <c r="K33" s="20" t="n"/>
      <c r="L33" s="20" t="n"/>
      <c r="M33" s="20" t="n"/>
      <c r="N33" s="20" t="n"/>
      <c r="O33" s="20" t="n"/>
      <c r="P33" s="30">
        <f>IF(AND(A33="",COUNT(L33:O33)=0),"",SUM(L33:O33))</f>
        <v/>
      </c>
      <c r="Q33" s="31">
        <f>IF(OR(P33="",NOT(ISNUMBER(K33))),"",K33-P33)</f>
        <v/>
      </c>
      <c r="R33" s="32">
        <f>IF(Q33="","",IF(K33&gt;0,Q33/K33,"－"))</f>
        <v/>
      </c>
      <c r="S33" s="33" t="n"/>
      <c r="T33" s="34">
        <f>IF(A33="",IF(COUNTA(B33:O33,S33)&gt;0,"案件番号がありません",""),IF(COUNTIF($A$6:$A$105,A33)&gt;1,"同じ案件番号があります",IF(H33="","状態を選んでください",IF(NOT(OR(H33="見積中",H33="進行中",H33="完了",H33="中止")),"状態は一覧から選びます",IF(AND(H33="完了",NOT(ISNUMBER(G33))),"完了日がありません（月別集計に入りません）",IF(NOT(ISNUMBER(K33)),"受注金額がありません（粗利が出ません）",""))))))</f>
        <v/>
      </c>
    </row>
    <row r="34" ht="18" customHeight="1">
      <c r="A34" s="15" t="n"/>
      <c r="B34" s="28" t="n"/>
      <c r="C34" s="28" t="n"/>
      <c r="D34" s="28" t="n"/>
      <c r="E34" s="28" t="n"/>
      <c r="F34" s="29" t="n"/>
      <c r="G34" s="29" t="n"/>
      <c r="H34" s="15" t="n"/>
      <c r="I34" s="21" t="n"/>
      <c r="J34" s="15" t="n"/>
      <c r="K34" s="20" t="n"/>
      <c r="L34" s="20" t="n"/>
      <c r="M34" s="20" t="n"/>
      <c r="N34" s="20" t="n"/>
      <c r="O34" s="20" t="n"/>
      <c r="P34" s="30">
        <f>IF(AND(A34="",COUNT(L34:O34)=0),"",SUM(L34:O34))</f>
        <v/>
      </c>
      <c r="Q34" s="31">
        <f>IF(OR(P34="",NOT(ISNUMBER(K34))),"",K34-P34)</f>
        <v/>
      </c>
      <c r="R34" s="32">
        <f>IF(Q34="","",IF(K34&gt;0,Q34/K34,"－"))</f>
        <v/>
      </c>
      <c r="S34" s="33" t="n"/>
      <c r="T34" s="34">
        <f>IF(A34="",IF(COUNTA(B34:O34,S34)&gt;0,"案件番号がありません",""),IF(COUNTIF($A$6:$A$105,A34)&gt;1,"同じ案件番号があります",IF(H34="","状態を選んでください",IF(NOT(OR(H34="見積中",H34="進行中",H34="完了",H34="中止")),"状態は一覧から選びます",IF(AND(H34="完了",NOT(ISNUMBER(G34))),"完了日がありません（月別集計に入りません）",IF(NOT(ISNUMBER(K34)),"受注金額がありません（粗利が出ません）",""))))))</f>
        <v/>
      </c>
    </row>
    <row r="35" ht="18" customHeight="1">
      <c r="A35" s="15" t="n"/>
      <c r="B35" s="28" t="n"/>
      <c r="C35" s="28" t="n"/>
      <c r="D35" s="28" t="n"/>
      <c r="E35" s="28" t="n"/>
      <c r="F35" s="29" t="n"/>
      <c r="G35" s="29" t="n"/>
      <c r="H35" s="15" t="n"/>
      <c r="I35" s="21" t="n"/>
      <c r="J35" s="15" t="n"/>
      <c r="K35" s="20" t="n"/>
      <c r="L35" s="20" t="n"/>
      <c r="M35" s="20" t="n"/>
      <c r="N35" s="20" t="n"/>
      <c r="O35" s="20" t="n"/>
      <c r="P35" s="30">
        <f>IF(AND(A35="",COUNT(L35:O35)=0),"",SUM(L35:O35))</f>
        <v/>
      </c>
      <c r="Q35" s="31">
        <f>IF(OR(P35="",NOT(ISNUMBER(K35))),"",K35-P35)</f>
        <v/>
      </c>
      <c r="R35" s="32">
        <f>IF(Q35="","",IF(K35&gt;0,Q35/K35,"－"))</f>
        <v/>
      </c>
      <c r="S35" s="33" t="n"/>
      <c r="T35" s="34">
        <f>IF(A35="",IF(COUNTA(B35:O35,S35)&gt;0,"案件番号がありません",""),IF(COUNTIF($A$6:$A$105,A35)&gt;1,"同じ案件番号があります",IF(H35="","状態を選んでください",IF(NOT(OR(H35="見積中",H35="進行中",H35="完了",H35="中止")),"状態は一覧から選びます",IF(AND(H35="完了",NOT(ISNUMBER(G35))),"完了日がありません（月別集計に入りません）",IF(NOT(ISNUMBER(K35)),"受注金額がありません（粗利が出ません）",""))))))</f>
        <v/>
      </c>
    </row>
    <row r="36" ht="18" customHeight="1">
      <c r="A36" s="15" t="n"/>
      <c r="B36" s="28" t="n"/>
      <c r="C36" s="28" t="n"/>
      <c r="D36" s="28" t="n"/>
      <c r="E36" s="28" t="n"/>
      <c r="F36" s="29" t="n"/>
      <c r="G36" s="29" t="n"/>
      <c r="H36" s="15" t="n"/>
      <c r="I36" s="21" t="n"/>
      <c r="J36" s="15" t="n"/>
      <c r="K36" s="20" t="n"/>
      <c r="L36" s="20" t="n"/>
      <c r="M36" s="20" t="n"/>
      <c r="N36" s="20" t="n"/>
      <c r="O36" s="20" t="n"/>
      <c r="P36" s="30">
        <f>IF(AND(A36="",COUNT(L36:O36)=0),"",SUM(L36:O36))</f>
        <v/>
      </c>
      <c r="Q36" s="31">
        <f>IF(OR(P36="",NOT(ISNUMBER(K36))),"",K36-P36)</f>
        <v/>
      </c>
      <c r="R36" s="32">
        <f>IF(Q36="","",IF(K36&gt;0,Q36/K36,"－"))</f>
        <v/>
      </c>
      <c r="S36" s="33" t="n"/>
      <c r="T36" s="34">
        <f>IF(A36="",IF(COUNTA(B36:O36,S36)&gt;0,"案件番号がありません",""),IF(COUNTIF($A$6:$A$105,A36)&gt;1,"同じ案件番号があります",IF(H36="","状態を選んでください",IF(NOT(OR(H36="見積中",H36="進行中",H36="完了",H36="中止")),"状態は一覧から選びます",IF(AND(H36="完了",NOT(ISNUMBER(G36))),"完了日がありません（月別集計に入りません）",IF(NOT(ISNUMBER(K36)),"受注金額がありません（粗利が出ません）",""))))))</f>
        <v/>
      </c>
    </row>
    <row r="37" ht="18" customHeight="1">
      <c r="A37" s="15" t="n"/>
      <c r="B37" s="28" t="n"/>
      <c r="C37" s="28" t="n"/>
      <c r="D37" s="28" t="n"/>
      <c r="E37" s="28" t="n"/>
      <c r="F37" s="29" t="n"/>
      <c r="G37" s="29" t="n"/>
      <c r="H37" s="15" t="n"/>
      <c r="I37" s="21" t="n"/>
      <c r="J37" s="15" t="n"/>
      <c r="K37" s="20" t="n"/>
      <c r="L37" s="20" t="n"/>
      <c r="M37" s="20" t="n"/>
      <c r="N37" s="20" t="n"/>
      <c r="O37" s="20" t="n"/>
      <c r="P37" s="30">
        <f>IF(AND(A37="",COUNT(L37:O37)=0),"",SUM(L37:O37))</f>
        <v/>
      </c>
      <c r="Q37" s="31">
        <f>IF(OR(P37="",NOT(ISNUMBER(K37))),"",K37-P37)</f>
        <v/>
      </c>
      <c r="R37" s="32">
        <f>IF(Q37="","",IF(K37&gt;0,Q37/K37,"－"))</f>
        <v/>
      </c>
      <c r="S37" s="33" t="n"/>
      <c r="T37" s="34">
        <f>IF(A37="",IF(COUNTA(B37:O37,S37)&gt;0,"案件番号がありません",""),IF(COUNTIF($A$6:$A$105,A37)&gt;1,"同じ案件番号があります",IF(H37="","状態を選んでください",IF(NOT(OR(H37="見積中",H37="進行中",H37="完了",H37="中止")),"状態は一覧から選びます",IF(AND(H37="完了",NOT(ISNUMBER(G37))),"完了日がありません（月別集計に入りません）",IF(NOT(ISNUMBER(K37)),"受注金額がありません（粗利が出ません）",""))))))</f>
        <v/>
      </c>
    </row>
    <row r="38" ht="18" customHeight="1">
      <c r="A38" s="15" t="n"/>
      <c r="B38" s="28" t="n"/>
      <c r="C38" s="28" t="n"/>
      <c r="D38" s="28" t="n"/>
      <c r="E38" s="28" t="n"/>
      <c r="F38" s="29" t="n"/>
      <c r="G38" s="29" t="n"/>
      <c r="H38" s="15" t="n"/>
      <c r="I38" s="21" t="n"/>
      <c r="J38" s="15" t="n"/>
      <c r="K38" s="20" t="n"/>
      <c r="L38" s="20" t="n"/>
      <c r="M38" s="20" t="n"/>
      <c r="N38" s="20" t="n"/>
      <c r="O38" s="20" t="n"/>
      <c r="P38" s="30">
        <f>IF(AND(A38="",COUNT(L38:O38)=0),"",SUM(L38:O38))</f>
        <v/>
      </c>
      <c r="Q38" s="31">
        <f>IF(OR(P38="",NOT(ISNUMBER(K38))),"",K38-P38)</f>
        <v/>
      </c>
      <c r="R38" s="32">
        <f>IF(Q38="","",IF(K38&gt;0,Q38/K38,"－"))</f>
        <v/>
      </c>
      <c r="S38" s="33" t="n"/>
      <c r="T38" s="34">
        <f>IF(A38="",IF(COUNTA(B38:O38,S38)&gt;0,"案件番号がありません",""),IF(COUNTIF($A$6:$A$105,A38)&gt;1,"同じ案件番号があります",IF(H38="","状態を選んでください",IF(NOT(OR(H38="見積中",H38="進行中",H38="完了",H38="中止")),"状態は一覧から選びます",IF(AND(H38="完了",NOT(ISNUMBER(G38))),"完了日がありません（月別集計に入りません）",IF(NOT(ISNUMBER(K38)),"受注金額がありません（粗利が出ません）",""))))))</f>
        <v/>
      </c>
    </row>
    <row r="39" ht="18" customHeight="1">
      <c r="A39" s="15" t="n"/>
      <c r="B39" s="28" t="n"/>
      <c r="C39" s="28" t="n"/>
      <c r="D39" s="28" t="n"/>
      <c r="E39" s="28" t="n"/>
      <c r="F39" s="29" t="n"/>
      <c r="G39" s="29" t="n"/>
      <c r="H39" s="15" t="n"/>
      <c r="I39" s="21" t="n"/>
      <c r="J39" s="15" t="n"/>
      <c r="K39" s="20" t="n"/>
      <c r="L39" s="20" t="n"/>
      <c r="M39" s="20" t="n"/>
      <c r="N39" s="20" t="n"/>
      <c r="O39" s="20" t="n"/>
      <c r="P39" s="30">
        <f>IF(AND(A39="",COUNT(L39:O39)=0),"",SUM(L39:O39))</f>
        <v/>
      </c>
      <c r="Q39" s="31">
        <f>IF(OR(P39="",NOT(ISNUMBER(K39))),"",K39-P39)</f>
        <v/>
      </c>
      <c r="R39" s="32">
        <f>IF(Q39="","",IF(K39&gt;0,Q39/K39,"－"))</f>
        <v/>
      </c>
      <c r="S39" s="33" t="n"/>
      <c r="T39" s="34">
        <f>IF(A39="",IF(COUNTA(B39:O39,S39)&gt;0,"案件番号がありません",""),IF(COUNTIF($A$6:$A$105,A39)&gt;1,"同じ案件番号があります",IF(H39="","状態を選んでください",IF(NOT(OR(H39="見積中",H39="進行中",H39="完了",H39="中止")),"状態は一覧から選びます",IF(AND(H39="完了",NOT(ISNUMBER(G39))),"完了日がありません（月別集計に入りません）",IF(NOT(ISNUMBER(K39)),"受注金額がありません（粗利が出ません）",""))))))</f>
        <v/>
      </c>
    </row>
    <row r="40" ht="18" customHeight="1">
      <c r="A40" s="15" t="n"/>
      <c r="B40" s="28" t="n"/>
      <c r="C40" s="28" t="n"/>
      <c r="D40" s="28" t="n"/>
      <c r="E40" s="28" t="n"/>
      <c r="F40" s="29" t="n"/>
      <c r="G40" s="29" t="n"/>
      <c r="H40" s="15" t="n"/>
      <c r="I40" s="21" t="n"/>
      <c r="J40" s="15" t="n"/>
      <c r="K40" s="20" t="n"/>
      <c r="L40" s="20" t="n"/>
      <c r="M40" s="20" t="n"/>
      <c r="N40" s="20" t="n"/>
      <c r="O40" s="20" t="n"/>
      <c r="P40" s="30">
        <f>IF(AND(A40="",COUNT(L40:O40)=0),"",SUM(L40:O40))</f>
        <v/>
      </c>
      <c r="Q40" s="31">
        <f>IF(OR(P40="",NOT(ISNUMBER(K40))),"",K40-P40)</f>
        <v/>
      </c>
      <c r="R40" s="32">
        <f>IF(Q40="","",IF(K40&gt;0,Q40/K40,"－"))</f>
        <v/>
      </c>
      <c r="S40" s="33" t="n"/>
      <c r="T40" s="34">
        <f>IF(A40="",IF(COUNTA(B40:O40,S40)&gt;0,"案件番号がありません",""),IF(COUNTIF($A$6:$A$105,A40)&gt;1,"同じ案件番号があります",IF(H40="","状態を選んでください",IF(NOT(OR(H40="見積中",H40="進行中",H40="完了",H40="中止")),"状態は一覧から選びます",IF(AND(H40="完了",NOT(ISNUMBER(G40))),"完了日がありません（月別集計に入りません）",IF(NOT(ISNUMBER(K40)),"受注金額がありません（粗利が出ません）",""))))))</f>
        <v/>
      </c>
    </row>
    <row r="41" ht="18" customHeight="1">
      <c r="A41" s="15" t="n"/>
      <c r="B41" s="28" t="n"/>
      <c r="C41" s="28" t="n"/>
      <c r="D41" s="28" t="n"/>
      <c r="E41" s="28" t="n"/>
      <c r="F41" s="29" t="n"/>
      <c r="G41" s="29" t="n"/>
      <c r="H41" s="15" t="n"/>
      <c r="I41" s="21" t="n"/>
      <c r="J41" s="15" t="n"/>
      <c r="K41" s="20" t="n"/>
      <c r="L41" s="20" t="n"/>
      <c r="M41" s="20" t="n"/>
      <c r="N41" s="20" t="n"/>
      <c r="O41" s="20" t="n"/>
      <c r="P41" s="30">
        <f>IF(AND(A41="",COUNT(L41:O41)=0),"",SUM(L41:O41))</f>
        <v/>
      </c>
      <c r="Q41" s="31">
        <f>IF(OR(P41="",NOT(ISNUMBER(K41))),"",K41-P41)</f>
        <v/>
      </c>
      <c r="R41" s="32">
        <f>IF(Q41="","",IF(K41&gt;0,Q41/K41,"－"))</f>
        <v/>
      </c>
      <c r="S41" s="33" t="n"/>
      <c r="T41" s="34">
        <f>IF(A41="",IF(COUNTA(B41:O41,S41)&gt;0,"案件番号がありません",""),IF(COUNTIF($A$6:$A$105,A41)&gt;1,"同じ案件番号があります",IF(H41="","状態を選んでください",IF(NOT(OR(H41="見積中",H41="進行中",H41="完了",H41="中止")),"状態は一覧から選びます",IF(AND(H41="完了",NOT(ISNUMBER(G41))),"完了日がありません（月別集計に入りません）",IF(NOT(ISNUMBER(K41)),"受注金額がありません（粗利が出ません）",""))))))</f>
        <v/>
      </c>
    </row>
    <row r="42" ht="18" customHeight="1">
      <c r="A42" s="15" t="n"/>
      <c r="B42" s="28" t="n"/>
      <c r="C42" s="28" t="n"/>
      <c r="D42" s="28" t="n"/>
      <c r="E42" s="28" t="n"/>
      <c r="F42" s="29" t="n"/>
      <c r="G42" s="29" t="n"/>
      <c r="H42" s="15" t="n"/>
      <c r="I42" s="21" t="n"/>
      <c r="J42" s="15" t="n"/>
      <c r="K42" s="20" t="n"/>
      <c r="L42" s="20" t="n"/>
      <c r="M42" s="20" t="n"/>
      <c r="N42" s="20" t="n"/>
      <c r="O42" s="20" t="n"/>
      <c r="P42" s="30">
        <f>IF(AND(A42="",COUNT(L42:O42)=0),"",SUM(L42:O42))</f>
        <v/>
      </c>
      <c r="Q42" s="31">
        <f>IF(OR(P42="",NOT(ISNUMBER(K42))),"",K42-P42)</f>
        <v/>
      </c>
      <c r="R42" s="32">
        <f>IF(Q42="","",IF(K42&gt;0,Q42/K42,"－"))</f>
        <v/>
      </c>
      <c r="S42" s="33" t="n"/>
      <c r="T42" s="34">
        <f>IF(A42="",IF(COUNTA(B42:O42,S42)&gt;0,"案件番号がありません",""),IF(COUNTIF($A$6:$A$105,A42)&gt;1,"同じ案件番号があります",IF(H42="","状態を選んでください",IF(NOT(OR(H42="見積中",H42="進行中",H42="完了",H42="中止")),"状態は一覧から選びます",IF(AND(H42="完了",NOT(ISNUMBER(G42))),"完了日がありません（月別集計に入りません）",IF(NOT(ISNUMBER(K42)),"受注金額がありません（粗利が出ません）",""))))))</f>
        <v/>
      </c>
    </row>
    <row r="43" ht="18" customHeight="1">
      <c r="A43" s="15" t="n"/>
      <c r="B43" s="28" t="n"/>
      <c r="C43" s="28" t="n"/>
      <c r="D43" s="28" t="n"/>
      <c r="E43" s="28" t="n"/>
      <c r="F43" s="29" t="n"/>
      <c r="G43" s="29" t="n"/>
      <c r="H43" s="15" t="n"/>
      <c r="I43" s="21" t="n"/>
      <c r="J43" s="15" t="n"/>
      <c r="K43" s="20" t="n"/>
      <c r="L43" s="20" t="n"/>
      <c r="M43" s="20" t="n"/>
      <c r="N43" s="20" t="n"/>
      <c r="O43" s="20" t="n"/>
      <c r="P43" s="30">
        <f>IF(AND(A43="",COUNT(L43:O43)=0),"",SUM(L43:O43))</f>
        <v/>
      </c>
      <c r="Q43" s="31">
        <f>IF(OR(P43="",NOT(ISNUMBER(K43))),"",K43-P43)</f>
        <v/>
      </c>
      <c r="R43" s="32">
        <f>IF(Q43="","",IF(K43&gt;0,Q43/K43,"－"))</f>
        <v/>
      </c>
      <c r="S43" s="33" t="n"/>
      <c r="T43" s="34">
        <f>IF(A43="",IF(COUNTA(B43:O43,S43)&gt;0,"案件番号がありません",""),IF(COUNTIF($A$6:$A$105,A43)&gt;1,"同じ案件番号があります",IF(H43="","状態を選んでください",IF(NOT(OR(H43="見積中",H43="進行中",H43="完了",H43="中止")),"状態は一覧から選びます",IF(AND(H43="完了",NOT(ISNUMBER(G43))),"完了日がありません（月別集計に入りません）",IF(NOT(ISNUMBER(K43)),"受注金額がありません（粗利が出ません）",""))))))</f>
        <v/>
      </c>
    </row>
    <row r="44" ht="18" customHeight="1">
      <c r="A44" s="15" t="n"/>
      <c r="B44" s="28" t="n"/>
      <c r="C44" s="28" t="n"/>
      <c r="D44" s="28" t="n"/>
      <c r="E44" s="28" t="n"/>
      <c r="F44" s="29" t="n"/>
      <c r="G44" s="29" t="n"/>
      <c r="H44" s="15" t="n"/>
      <c r="I44" s="21" t="n"/>
      <c r="J44" s="15" t="n"/>
      <c r="K44" s="20" t="n"/>
      <c r="L44" s="20" t="n"/>
      <c r="M44" s="20" t="n"/>
      <c r="N44" s="20" t="n"/>
      <c r="O44" s="20" t="n"/>
      <c r="P44" s="30">
        <f>IF(AND(A44="",COUNT(L44:O44)=0),"",SUM(L44:O44))</f>
        <v/>
      </c>
      <c r="Q44" s="31">
        <f>IF(OR(P44="",NOT(ISNUMBER(K44))),"",K44-P44)</f>
        <v/>
      </c>
      <c r="R44" s="32">
        <f>IF(Q44="","",IF(K44&gt;0,Q44/K44,"－"))</f>
        <v/>
      </c>
      <c r="S44" s="33" t="n"/>
      <c r="T44" s="34">
        <f>IF(A44="",IF(COUNTA(B44:O44,S44)&gt;0,"案件番号がありません",""),IF(COUNTIF($A$6:$A$105,A44)&gt;1,"同じ案件番号があります",IF(H44="","状態を選んでください",IF(NOT(OR(H44="見積中",H44="進行中",H44="完了",H44="中止")),"状態は一覧から選びます",IF(AND(H44="完了",NOT(ISNUMBER(G44))),"完了日がありません（月別集計に入りません）",IF(NOT(ISNUMBER(K44)),"受注金額がありません（粗利が出ません）",""))))))</f>
        <v/>
      </c>
    </row>
    <row r="45" ht="18" customHeight="1">
      <c r="A45" s="15" t="n"/>
      <c r="B45" s="28" t="n"/>
      <c r="C45" s="28" t="n"/>
      <c r="D45" s="28" t="n"/>
      <c r="E45" s="28" t="n"/>
      <c r="F45" s="29" t="n"/>
      <c r="G45" s="29" t="n"/>
      <c r="H45" s="15" t="n"/>
      <c r="I45" s="21" t="n"/>
      <c r="J45" s="15" t="n"/>
      <c r="K45" s="20" t="n"/>
      <c r="L45" s="20" t="n"/>
      <c r="M45" s="20" t="n"/>
      <c r="N45" s="20" t="n"/>
      <c r="O45" s="20" t="n"/>
      <c r="P45" s="30">
        <f>IF(AND(A45="",COUNT(L45:O45)=0),"",SUM(L45:O45))</f>
        <v/>
      </c>
      <c r="Q45" s="31">
        <f>IF(OR(P45="",NOT(ISNUMBER(K45))),"",K45-P45)</f>
        <v/>
      </c>
      <c r="R45" s="32">
        <f>IF(Q45="","",IF(K45&gt;0,Q45/K45,"－"))</f>
        <v/>
      </c>
      <c r="S45" s="33" t="n"/>
      <c r="T45" s="34">
        <f>IF(A45="",IF(COUNTA(B45:O45,S45)&gt;0,"案件番号がありません",""),IF(COUNTIF($A$6:$A$105,A45)&gt;1,"同じ案件番号があります",IF(H45="","状態を選んでください",IF(NOT(OR(H45="見積中",H45="進行中",H45="完了",H45="中止")),"状態は一覧から選びます",IF(AND(H45="完了",NOT(ISNUMBER(G45))),"完了日がありません（月別集計に入りません）",IF(NOT(ISNUMBER(K45)),"受注金額がありません（粗利が出ません）",""))))))</f>
        <v/>
      </c>
    </row>
    <row r="46" ht="18" customHeight="1">
      <c r="A46" s="15" t="n"/>
      <c r="B46" s="28" t="n"/>
      <c r="C46" s="28" t="n"/>
      <c r="D46" s="28" t="n"/>
      <c r="E46" s="28" t="n"/>
      <c r="F46" s="29" t="n"/>
      <c r="G46" s="29" t="n"/>
      <c r="H46" s="15" t="n"/>
      <c r="I46" s="21" t="n"/>
      <c r="J46" s="15" t="n"/>
      <c r="K46" s="20" t="n"/>
      <c r="L46" s="20" t="n"/>
      <c r="M46" s="20" t="n"/>
      <c r="N46" s="20" t="n"/>
      <c r="O46" s="20" t="n"/>
      <c r="P46" s="30">
        <f>IF(AND(A46="",COUNT(L46:O46)=0),"",SUM(L46:O46))</f>
        <v/>
      </c>
      <c r="Q46" s="31">
        <f>IF(OR(P46="",NOT(ISNUMBER(K46))),"",K46-P46)</f>
        <v/>
      </c>
      <c r="R46" s="32">
        <f>IF(Q46="","",IF(K46&gt;0,Q46/K46,"－"))</f>
        <v/>
      </c>
      <c r="S46" s="33" t="n"/>
      <c r="T46" s="34">
        <f>IF(A46="",IF(COUNTA(B46:O46,S46)&gt;0,"案件番号がありません",""),IF(COUNTIF($A$6:$A$105,A46)&gt;1,"同じ案件番号があります",IF(H46="","状態を選んでください",IF(NOT(OR(H46="見積中",H46="進行中",H46="完了",H46="中止")),"状態は一覧から選びます",IF(AND(H46="完了",NOT(ISNUMBER(G46))),"完了日がありません（月別集計に入りません）",IF(NOT(ISNUMBER(K46)),"受注金額がありません（粗利が出ません）",""))))))</f>
        <v/>
      </c>
    </row>
    <row r="47" ht="18" customHeight="1">
      <c r="A47" s="15" t="n"/>
      <c r="B47" s="28" t="n"/>
      <c r="C47" s="28" t="n"/>
      <c r="D47" s="28" t="n"/>
      <c r="E47" s="28" t="n"/>
      <c r="F47" s="29" t="n"/>
      <c r="G47" s="29" t="n"/>
      <c r="H47" s="15" t="n"/>
      <c r="I47" s="21" t="n"/>
      <c r="J47" s="15" t="n"/>
      <c r="K47" s="20" t="n"/>
      <c r="L47" s="20" t="n"/>
      <c r="M47" s="20" t="n"/>
      <c r="N47" s="20" t="n"/>
      <c r="O47" s="20" t="n"/>
      <c r="P47" s="30">
        <f>IF(AND(A47="",COUNT(L47:O47)=0),"",SUM(L47:O47))</f>
        <v/>
      </c>
      <c r="Q47" s="31">
        <f>IF(OR(P47="",NOT(ISNUMBER(K47))),"",K47-P47)</f>
        <v/>
      </c>
      <c r="R47" s="32">
        <f>IF(Q47="","",IF(K47&gt;0,Q47/K47,"－"))</f>
        <v/>
      </c>
      <c r="S47" s="33" t="n"/>
      <c r="T47" s="34">
        <f>IF(A47="",IF(COUNTA(B47:O47,S47)&gt;0,"案件番号がありません",""),IF(COUNTIF($A$6:$A$105,A47)&gt;1,"同じ案件番号があります",IF(H47="","状態を選んでください",IF(NOT(OR(H47="見積中",H47="進行中",H47="完了",H47="中止")),"状態は一覧から選びます",IF(AND(H47="完了",NOT(ISNUMBER(G47))),"完了日がありません（月別集計に入りません）",IF(NOT(ISNUMBER(K47)),"受注金額がありません（粗利が出ません）",""))))))</f>
        <v/>
      </c>
    </row>
    <row r="48" ht="18" customHeight="1">
      <c r="A48" s="15" t="n"/>
      <c r="B48" s="28" t="n"/>
      <c r="C48" s="28" t="n"/>
      <c r="D48" s="28" t="n"/>
      <c r="E48" s="28" t="n"/>
      <c r="F48" s="29" t="n"/>
      <c r="G48" s="29" t="n"/>
      <c r="H48" s="15" t="n"/>
      <c r="I48" s="21" t="n"/>
      <c r="J48" s="15" t="n"/>
      <c r="K48" s="20" t="n"/>
      <c r="L48" s="20" t="n"/>
      <c r="M48" s="20" t="n"/>
      <c r="N48" s="20" t="n"/>
      <c r="O48" s="20" t="n"/>
      <c r="P48" s="30">
        <f>IF(AND(A48="",COUNT(L48:O48)=0),"",SUM(L48:O48))</f>
        <v/>
      </c>
      <c r="Q48" s="31">
        <f>IF(OR(P48="",NOT(ISNUMBER(K48))),"",K48-P48)</f>
        <v/>
      </c>
      <c r="R48" s="32">
        <f>IF(Q48="","",IF(K48&gt;0,Q48/K48,"－"))</f>
        <v/>
      </c>
      <c r="S48" s="33" t="n"/>
      <c r="T48" s="34">
        <f>IF(A48="",IF(COUNTA(B48:O48,S48)&gt;0,"案件番号がありません",""),IF(COUNTIF($A$6:$A$105,A48)&gt;1,"同じ案件番号があります",IF(H48="","状態を選んでください",IF(NOT(OR(H48="見積中",H48="進行中",H48="完了",H48="中止")),"状態は一覧から選びます",IF(AND(H48="完了",NOT(ISNUMBER(G48))),"完了日がありません（月別集計に入りません）",IF(NOT(ISNUMBER(K48)),"受注金額がありません（粗利が出ません）",""))))))</f>
        <v/>
      </c>
    </row>
    <row r="49" ht="18" customHeight="1">
      <c r="A49" s="15" t="n"/>
      <c r="B49" s="28" t="n"/>
      <c r="C49" s="28" t="n"/>
      <c r="D49" s="28" t="n"/>
      <c r="E49" s="28" t="n"/>
      <c r="F49" s="29" t="n"/>
      <c r="G49" s="29" t="n"/>
      <c r="H49" s="15" t="n"/>
      <c r="I49" s="21" t="n"/>
      <c r="J49" s="15" t="n"/>
      <c r="K49" s="20" t="n"/>
      <c r="L49" s="20" t="n"/>
      <c r="M49" s="20" t="n"/>
      <c r="N49" s="20" t="n"/>
      <c r="O49" s="20" t="n"/>
      <c r="P49" s="30">
        <f>IF(AND(A49="",COUNT(L49:O49)=0),"",SUM(L49:O49))</f>
        <v/>
      </c>
      <c r="Q49" s="31">
        <f>IF(OR(P49="",NOT(ISNUMBER(K49))),"",K49-P49)</f>
        <v/>
      </c>
      <c r="R49" s="32">
        <f>IF(Q49="","",IF(K49&gt;0,Q49/K49,"－"))</f>
        <v/>
      </c>
      <c r="S49" s="33" t="n"/>
      <c r="T49" s="34">
        <f>IF(A49="",IF(COUNTA(B49:O49,S49)&gt;0,"案件番号がありません",""),IF(COUNTIF($A$6:$A$105,A49)&gt;1,"同じ案件番号があります",IF(H49="","状態を選んでください",IF(NOT(OR(H49="見積中",H49="進行中",H49="完了",H49="中止")),"状態は一覧から選びます",IF(AND(H49="完了",NOT(ISNUMBER(G49))),"完了日がありません（月別集計に入りません）",IF(NOT(ISNUMBER(K49)),"受注金額がありません（粗利が出ません）",""))))))</f>
        <v/>
      </c>
    </row>
    <row r="50" ht="18" customHeight="1">
      <c r="A50" s="15" t="n"/>
      <c r="B50" s="28" t="n"/>
      <c r="C50" s="28" t="n"/>
      <c r="D50" s="28" t="n"/>
      <c r="E50" s="28" t="n"/>
      <c r="F50" s="29" t="n"/>
      <c r="G50" s="29" t="n"/>
      <c r="H50" s="15" t="n"/>
      <c r="I50" s="21" t="n"/>
      <c r="J50" s="15" t="n"/>
      <c r="K50" s="20" t="n"/>
      <c r="L50" s="20" t="n"/>
      <c r="M50" s="20" t="n"/>
      <c r="N50" s="20" t="n"/>
      <c r="O50" s="20" t="n"/>
      <c r="P50" s="30">
        <f>IF(AND(A50="",COUNT(L50:O50)=0),"",SUM(L50:O50))</f>
        <v/>
      </c>
      <c r="Q50" s="31">
        <f>IF(OR(P50="",NOT(ISNUMBER(K50))),"",K50-P50)</f>
        <v/>
      </c>
      <c r="R50" s="32">
        <f>IF(Q50="","",IF(K50&gt;0,Q50/K50,"－"))</f>
        <v/>
      </c>
      <c r="S50" s="33" t="n"/>
      <c r="T50" s="34">
        <f>IF(A50="",IF(COUNTA(B50:O50,S50)&gt;0,"案件番号がありません",""),IF(COUNTIF($A$6:$A$105,A50)&gt;1,"同じ案件番号があります",IF(H50="","状態を選んでください",IF(NOT(OR(H50="見積中",H50="進行中",H50="完了",H50="中止")),"状態は一覧から選びます",IF(AND(H50="完了",NOT(ISNUMBER(G50))),"完了日がありません（月別集計に入りません）",IF(NOT(ISNUMBER(K50)),"受注金額がありません（粗利が出ません）",""))))))</f>
        <v/>
      </c>
    </row>
    <row r="51" ht="18" customHeight="1">
      <c r="A51" s="15" t="n"/>
      <c r="B51" s="28" t="n"/>
      <c r="C51" s="28" t="n"/>
      <c r="D51" s="28" t="n"/>
      <c r="E51" s="28" t="n"/>
      <c r="F51" s="29" t="n"/>
      <c r="G51" s="29" t="n"/>
      <c r="H51" s="15" t="n"/>
      <c r="I51" s="21" t="n"/>
      <c r="J51" s="15" t="n"/>
      <c r="K51" s="20" t="n"/>
      <c r="L51" s="20" t="n"/>
      <c r="M51" s="20" t="n"/>
      <c r="N51" s="20" t="n"/>
      <c r="O51" s="20" t="n"/>
      <c r="P51" s="30">
        <f>IF(AND(A51="",COUNT(L51:O51)=0),"",SUM(L51:O51))</f>
        <v/>
      </c>
      <c r="Q51" s="31">
        <f>IF(OR(P51="",NOT(ISNUMBER(K51))),"",K51-P51)</f>
        <v/>
      </c>
      <c r="R51" s="32">
        <f>IF(Q51="","",IF(K51&gt;0,Q51/K51,"－"))</f>
        <v/>
      </c>
      <c r="S51" s="33" t="n"/>
      <c r="T51" s="34">
        <f>IF(A51="",IF(COUNTA(B51:O51,S51)&gt;0,"案件番号がありません",""),IF(COUNTIF($A$6:$A$105,A51)&gt;1,"同じ案件番号があります",IF(H51="","状態を選んでください",IF(NOT(OR(H51="見積中",H51="進行中",H51="完了",H51="中止")),"状態は一覧から選びます",IF(AND(H51="完了",NOT(ISNUMBER(G51))),"完了日がありません（月別集計に入りません）",IF(NOT(ISNUMBER(K51)),"受注金額がありません（粗利が出ません）",""))))))</f>
        <v/>
      </c>
    </row>
    <row r="52" ht="18" customHeight="1">
      <c r="A52" s="15" t="n"/>
      <c r="B52" s="28" t="n"/>
      <c r="C52" s="28" t="n"/>
      <c r="D52" s="28" t="n"/>
      <c r="E52" s="28" t="n"/>
      <c r="F52" s="29" t="n"/>
      <c r="G52" s="29" t="n"/>
      <c r="H52" s="15" t="n"/>
      <c r="I52" s="21" t="n"/>
      <c r="J52" s="15" t="n"/>
      <c r="K52" s="20" t="n"/>
      <c r="L52" s="20" t="n"/>
      <c r="M52" s="20" t="n"/>
      <c r="N52" s="20" t="n"/>
      <c r="O52" s="20" t="n"/>
      <c r="P52" s="30">
        <f>IF(AND(A52="",COUNT(L52:O52)=0),"",SUM(L52:O52))</f>
        <v/>
      </c>
      <c r="Q52" s="31">
        <f>IF(OR(P52="",NOT(ISNUMBER(K52))),"",K52-P52)</f>
        <v/>
      </c>
      <c r="R52" s="32">
        <f>IF(Q52="","",IF(K52&gt;0,Q52/K52,"－"))</f>
        <v/>
      </c>
      <c r="S52" s="33" t="n"/>
      <c r="T52" s="34">
        <f>IF(A52="",IF(COUNTA(B52:O52,S52)&gt;0,"案件番号がありません",""),IF(COUNTIF($A$6:$A$105,A52)&gt;1,"同じ案件番号があります",IF(H52="","状態を選んでください",IF(NOT(OR(H52="見積中",H52="進行中",H52="完了",H52="中止")),"状態は一覧から選びます",IF(AND(H52="完了",NOT(ISNUMBER(G52))),"完了日がありません（月別集計に入りません）",IF(NOT(ISNUMBER(K52)),"受注金額がありません（粗利が出ません）",""))))))</f>
        <v/>
      </c>
    </row>
    <row r="53" ht="18" customHeight="1">
      <c r="A53" s="15" t="n"/>
      <c r="B53" s="28" t="n"/>
      <c r="C53" s="28" t="n"/>
      <c r="D53" s="28" t="n"/>
      <c r="E53" s="28" t="n"/>
      <c r="F53" s="29" t="n"/>
      <c r="G53" s="29" t="n"/>
      <c r="H53" s="15" t="n"/>
      <c r="I53" s="21" t="n"/>
      <c r="J53" s="15" t="n"/>
      <c r="K53" s="20" t="n"/>
      <c r="L53" s="20" t="n"/>
      <c r="M53" s="20" t="n"/>
      <c r="N53" s="20" t="n"/>
      <c r="O53" s="20" t="n"/>
      <c r="P53" s="30">
        <f>IF(AND(A53="",COUNT(L53:O53)=0),"",SUM(L53:O53))</f>
        <v/>
      </c>
      <c r="Q53" s="31">
        <f>IF(OR(P53="",NOT(ISNUMBER(K53))),"",K53-P53)</f>
        <v/>
      </c>
      <c r="R53" s="32">
        <f>IF(Q53="","",IF(K53&gt;0,Q53/K53,"－"))</f>
        <v/>
      </c>
      <c r="S53" s="33" t="n"/>
      <c r="T53" s="34">
        <f>IF(A53="",IF(COUNTA(B53:O53,S53)&gt;0,"案件番号がありません",""),IF(COUNTIF($A$6:$A$105,A53)&gt;1,"同じ案件番号があります",IF(H53="","状態を選んでください",IF(NOT(OR(H53="見積中",H53="進行中",H53="完了",H53="中止")),"状態は一覧から選びます",IF(AND(H53="完了",NOT(ISNUMBER(G53))),"完了日がありません（月別集計に入りません）",IF(NOT(ISNUMBER(K53)),"受注金額がありません（粗利が出ません）",""))))))</f>
        <v/>
      </c>
    </row>
    <row r="54" ht="18" customHeight="1">
      <c r="A54" s="15" t="n"/>
      <c r="B54" s="28" t="n"/>
      <c r="C54" s="28" t="n"/>
      <c r="D54" s="28" t="n"/>
      <c r="E54" s="28" t="n"/>
      <c r="F54" s="29" t="n"/>
      <c r="G54" s="29" t="n"/>
      <c r="H54" s="15" t="n"/>
      <c r="I54" s="21" t="n"/>
      <c r="J54" s="15" t="n"/>
      <c r="K54" s="20" t="n"/>
      <c r="L54" s="20" t="n"/>
      <c r="M54" s="20" t="n"/>
      <c r="N54" s="20" t="n"/>
      <c r="O54" s="20" t="n"/>
      <c r="P54" s="30">
        <f>IF(AND(A54="",COUNT(L54:O54)=0),"",SUM(L54:O54))</f>
        <v/>
      </c>
      <c r="Q54" s="31">
        <f>IF(OR(P54="",NOT(ISNUMBER(K54))),"",K54-P54)</f>
        <v/>
      </c>
      <c r="R54" s="32">
        <f>IF(Q54="","",IF(K54&gt;0,Q54/K54,"－"))</f>
        <v/>
      </c>
      <c r="S54" s="33" t="n"/>
      <c r="T54" s="34">
        <f>IF(A54="",IF(COUNTA(B54:O54,S54)&gt;0,"案件番号がありません",""),IF(COUNTIF($A$6:$A$105,A54)&gt;1,"同じ案件番号があります",IF(H54="","状態を選んでください",IF(NOT(OR(H54="見積中",H54="進行中",H54="完了",H54="中止")),"状態は一覧から選びます",IF(AND(H54="完了",NOT(ISNUMBER(G54))),"完了日がありません（月別集計に入りません）",IF(NOT(ISNUMBER(K54)),"受注金額がありません（粗利が出ません）",""))))))</f>
        <v/>
      </c>
    </row>
    <row r="55" ht="18" customHeight="1">
      <c r="A55" s="15" t="n"/>
      <c r="B55" s="28" t="n"/>
      <c r="C55" s="28" t="n"/>
      <c r="D55" s="28" t="n"/>
      <c r="E55" s="28" t="n"/>
      <c r="F55" s="29" t="n"/>
      <c r="G55" s="29" t="n"/>
      <c r="H55" s="15" t="n"/>
      <c r="I55" s="21" t="n"/>
      <c r="J55" s="15" t="n"/>
      <c r="K55" s="20" t="n"/>
      <c r="L55" s="20" t="n"/>
      <c r="M55" s="20" t="n"/>
      <c r="N55" s="20" t="n"/>
      <c r="O55" s="20" t="n"/>
      <c r="P55" s="30">
        <f>IF(AND(A55="",COUNT(L55:O55)=0),"",SUM(L55:O55))</f>
        <v/>
      </c>
      <c r="Q55" s="31">
        <f>IF(OR(P55="",NOT(ISNUMBER(K55))),"",K55-P55)</f>
        <v/>
      </c>
      <c r="R55" s="32">
        <f>IF(Q55="","",IF(K55&gt;0,Q55/K55,"－"))</f>
        <v/>
      </c>
      <c r="S55" s="33" t="n"/>
      <c r="T55" s="34">
        <f>IF(A55="",IF(COUNTA(B55:O55,S55)&gt;0,"案件番号がありません",""),IF(COUNTIF($A$6:$A$105,A55)&gt;1,"同じ案件番号があります",IF(H55="","状態を選んでください",IF(NOT(OR(H55="見積中",H55="進行中",H55="完了",H55="中止")),"状態は一覧から選びます",IF(AND(H55="完了",NOT(ISNUMBER(G55))),"完了日がありません（月別集計に入りません）",IF(NOT(ISNUMBER(K55)),"受注金額がありません（粗利が出ません）",""))))))</f>
        <v/>
      </c>
    </row>
    <row r="56" ht="18" customHeight="1">
      <c r="A56" s="15" t="n"/>
      <c r="B56" s="28" t="n"/>
      <c r="C56" s="28" t="n"/>
      <c r="D56" s="28" t="n"/>
      <c r="E56" s="28" t="n"/>
      <c r="F56" s="29" t="n"/>
      <c r="G56" s="29" t="n"/>
      <c r="H56" s="15" t="n"/>
      <c r="I56" s="21" t="n"/>
      <c r="J56" s="15" t="n"/>
      <c r="K56" s="20" t="n"/>
      <c r="L56" s="20" t="n"/>
      <c r="M56" s="20" t="n"/>
      <c r="N56" s="20" t="n"/>
      <c r="O56" s="20" t="n"/>
      <c r="P56" s="30">
        <f>IF(AND(A56="",COUNT(L56:O56)=0),"",SUM(L56:O56))</f>
        <v/>
      </c>
      <c r="Q56" s="31">
        <f>IF(OR(P56="",NOT(ISNUMBER(K56))),"",K56-P56)</f>
        <v/>
      </c>
      <c r="R56" s="32">
        <f>IF(Q56="","",IF(K56&gt;0,Q56/K56,"－"))</f>
        <v/>
      </c>
      <c r="S56" s="33" t="n"/>
      <c r="T56" s="34">
        <f>IF(A56="",IF(COUNTA(B56:O56,S56)&gt;0,"案件番号がありません",""),IF(COUNTIF($A$6:$A$105,A56)&gt;1,"同じ案件番号があります",IF(H56="","状態を選んでください",IF(NOT(OR(H56="見積中",H56="進行中",H56="完了",H56="中止")),"状態は一覧から選びます",IF(AND(H56="完了",NOT(ISNUMBER(G56))),"完了日がありません（月別集計に入りません）",IF(NOT(ISNUMBER(K56)),"受注金額がありません（粗利が出ません）",""))))))</f>
        <v/>
      </c>
    </row>
    <row r="57" ht="18" customHeight="1">
      <c r="A57" s="15" t="n"/>
      <c r="B57" s="28" t="n"/>
      <c r="C57" s="28" t="n"/>
      <c r="D57" s="28" t="n"/>
      <c r="E57" s="28" t="n"/>
      <c r="F57" s="29" t="n"/>
      <c r="G57" s="29" t="n"/>
      <c r="H57" s="15" t="n"/>
      <c r="I57" s="21" t="n"/>
      <c r="J57" s="15" t="n"/>
      <c r="K57" s="20" t="n"/>
      <c r="L57" s="20" t="n"/>
      <c r="M57" s="20" t="n"/>
      <c r="N57" s="20" t="n"/>
      <c r="O57" s="20" t="n"/>
      <c r="P57" s="30">
        <f>IF(AND(A57="",COUNT(L57:O57)=0),"",SUM(L57:O57))</f>
        <v/>
      </c>
      <c r="Q57" s="31">
        <f>IF(OR(P57="",NOT(ISNUMBER(K57))),"",K57-P57)</f>
        <v/>
      </c>
      <c r="R57" s="32">
        <f>IF(Q57="","",IF(K57&gt;0,Q57/K57,"－"))</f>
        <v/>
      </c>
      <c r="S57" s="33" t="n"/>
      <c r="T57" s="34">
        <f>IF(A57="",IF(COUNTA(B57:O57,S57)&gt;0,"案件番号がありません",""),IF(COUNTIF($A$6:$A$105,A57)&gt;1,"同じ案件番号があります",IF(H57="","状態を選んでください",IF(NOT(OR(H57="見積中",H57="進行中",H57="完了",H57="中止")),"状態は一覧から選びます",IF(AND(H57="完了",NOT(ISNUMBER(G57))),"完了日がありません（月別集計に入りません）",IF(NOT(ISNUMBER(K57)),"受注金額がありません（粗利が出ません）",""))))))</f>
        <v/>
      </c>
    </row>
    <row r="58" ht="18" customHeight="1">
      <c r="A58" s="15" t="n"/>
      <c r="B58" s="28" t="n"/>
      <c r="C58" s="28" t="n"/>
      <c r="D58" s="28" t="n"/>
      <c r="E58" s="28" t="n"/>
      <c r="F58" s="29" t="n"/>
      <c r="G58" s="29" t="n"/>
      <c r="H58" s="15" t="n"/>
      <c r="I58" s="21" t="n"/>
      <c r="J58" s="15" t="n"/>
      <c r="K58" s="20" t="n"/>
      <c r="L58" s="20" t="n"/>
      <c r="M58" s="20" t="n"/>
      <c r="N58" s="20" t="n"/>
      <c r="O58" s="20" t="n"/>
      <c r="P58" s="30">
        <f>IF(AND(A58="",COUNT(L58:O58)=0),"",SUM(L58:O58))</f>
        <v/>
      </c>
      <c r="Q58" s="31">
        <f>IF(OR(P58="",NOT(ISNUMBER(K58))),"",K58-P58)</f>
        <v/>
      </c>
      <c r="R58" s="32">
        <f>IF(Q58="","",IF(K58&gt;0,Q58/K58,"－"))</f>
        <v/>
      </c>
      <c r="S58" s="33" t="n"/>
      <c r="T58" s="34">
        <f>IF(A58="",IF(COUNTA(B58:O58,S58)&gt;0,"案件番号がありません",""),IF(COUNTIF($A$6:$A$105,A58)&gt;1,"同じ案件番号があります",IF(H58="","状態を選んでください",IF(NOT(OR(H58="見積中",H58="進行中",H58="完了",H58="中止")),"状態は一覧から選びます",IF(AND(H58="完了",NOT(ISNUMBER(G58))),"完了日がありません（月別集計に入りません）",IF(NOT(ISNUMBER(K58)),"受注金額がありません（粗利が出ません）",""))))))</f>
        <v/>
      </c>
    </row>
    <row r="59" ht="18" customHeight="1">
      <c r="A59" s="15" t="n"/>
      <c r="B59" s="28" t="n"/>
      <c r="C59" s="28" t="n"/>
      <c r="D59" s="28" t="n"/>
      <c r="E59" s="28" t="n"/>
      <c r="F59" s="29" t="n"/>
      <c r="G59" s="29" t="n"/>
      <c r="H59" s="15" t="n"/>
      <c r="I59" s="21" t="n"/>
      <c r="J59" s="15" t="n"/>
      <c r="K59" s="20" t="n"/>
      <c r="L59" s="20" t="n"/>
      <c r="M59" s="20" t="n"/>
      <c r="N59" s="20" t="n"/>
      <c r="O59" s="20" t="n"/>
      <c r="P59" s="30">
        <f>IF(AND(A59="",COUNT(L59:O59)=0),"",SUM(L59:O59))</f>
        <v/>
      </c>
      <c r="Q59" s="31">
        <f>IF(OR(P59="",NOT(ISNUMBER(K59))),"",K59-P59)</f>
        <v/>
      </c>
      <c r="R59" s="32">
        <f>IF(Q59="","",IF(K59&gt;0,Q59/K59,"－"))</f>
        <v/>
      </c>
      <c r="S59" s="33" t="n"/>
      <c r="T59" s="34">
        <f>IF(A59="",IF(COUNTA(B59:O59,S59)&gt;0,"案件番号がありません",""),IF(COUNTIF($A$6:$A$105,A59)&gt;1,"同じ案件番号があります",IF(H59="","状態を選んでください",IF(NOT(OR(H59="見積中",H59="進行中",H59="完了",H59="中止")),"状態は一覧から選びます",IF(AND(H59="完了",NOT(ISNUMBER(G59))),"完了日がありません（月別集計に入りません）",IF(NOT(ISNUMBER(K59)),"受注金額がありません（粗利が出ません）",""))))))</f>
        <v/>
      </c>
    </row>
    <row r="60" ht="18" customHeight="1">
      <c r="A60" s="15" t="n"/>
      <c r="B60" s="28" t="n"/>
      <c r="C60" s="28" t="n"/>
      <c r="D60" s="28" t="n"/>
      <c r="E60" s="28" t="n"/>
      <c r="F60" s="29" t="n"/>
      <c r="G60" s="29" t="n"/>
      <c r="H60" s="15" t="n"/>
      <c r="I60" s="21" t="n"/>
      <c r="J60" s="15" t="n"/>
      <c r="K60" s="20" t="n"/>
      <c r="L60" s="20" t="n"/>
      <c r="M60" s="20" t="n"/>
      <c r="N60" s="20" t="n"/>
      <c r="O60" s="20" t="n"/>
      <c r="P60" s="30">
        <f>IF(AND(A60="",COUNT(L60:O60)=0),"",SUM(L60:O60))</f>
        <v/>
      </c>
      <c r="Q60" s="31">
        <f>IF(OR(P60="",NOT(ISNUMBER(K60))),"",K60-P60)</f>
        <v/>
      </c>
      <c r="R60" s="32">
        <f>IF(Q60="","",IF(K60&gt;0,Q60/K60,"－"))</f>
        <v/>
      </c>
      <c r="S60" s="33" t="n"/>
      <c r="T60" s="34">
        <f>IF(A60="",IF(COUNTA(B60:O60,S60)&gt;0,"案件番号がありません",""),IF(COUNTIF($A$6:$A$105,A60)&gt;1,"同じ案件番号があります",IF(H60="","状態を選んでください",IF(NOT(OR(H60="見積中",H60="進行中",H60="完了",H60="中止")),"状態は一覧から選びます",IF(AND(H60="完了",NOT(ISNUMBER(G60))),"完了日がありません（月別集計に入りません）",IF(NOT(ISNUMBER(K60)),"受注金額がありません（粗利が出ません）",""))))))</f>
        <v/>
      </c>
    </row>
    <row r="61" ht="18" customHeight="1">
      <c r="A61" s="15" t="n"/>
      <c r="B61" s="28" t="n"/>
      <c r="C61" s="28" t="n"/>
      <c r="D61" s="28" t="n"/>
      <c r="E61" s="28" t="n"/>
      <c r="F61" s="29" t="n"/>
      <c r="G61" s="29" t="n"/>
      <c r="H61" s="15" t="n"/>
      <c r="I61" s="21" t="n"/>
      <c r="J61" s="15" t="n"/>
      <c r="K61" s="20" t="n"/>
      <c r="L61" s="20" t="n"/>
      <c r="M61" s="20" t="n"/>
      <c r="N61" s="20" t="n"/>
      <c r="O61" s="20" t="n"/>
      <c r="P61" s="30">
        <f>IF(AND(A61="",COUNT(L61:O61)=0),"",SUM(L61:O61))</f>
        <v/>
      </c>
      <c r="Q61" s="31">
        <f>IF(OR(P61="",NOT(ISNUMBER(K61))),"",K61-P61)</f>
        <v/>
      </c>
      <c r="R61" s="32">
        <f>IF(Q61="","",IF(K61&gt;0,Q61/K61,"－"))</f>
        <v/>
      </c>
      <c r="S61" s="33" t="n"/>
      <c r="T61" s="34">
        <f>IF(A61="",IF(COUNTA(B61:O61,S61)&gt;0,"案件番号がありません",""),IF(COUNTIF($A$6:$A$105,A61)&gt;1,"同じ案件番号があります",IF(H61="","状態を選んでください",IF(NOT(OR(H61="見積中",H61="進行中",H61="完了",H61="中止")),"状態は一覧から選びます",IF(AND(H61="完了",NOT(ISNUMBER(G61))),"完了日がありません（月別集計に入りません）",IF(NOT(ISNUMBER(K61)),"受注金額がありません（粗利が出ません）",""))))))</f>
        <v/>
      </c>
    </row>
    <row r="62" ht="18" customHeight="1">
      <c r="A62" s="15" t="n"/>
      <c r="B62" s="28" t="n"/>
      <c r="C62" s="28" t="n"/>
      <c r="D62" s="28" t="n"/>
      <c r="E62" s="28" t="n"/>
      <c r="F62" s="29" t="n"/>
      <c r="G62" s="29" t="n"/>
      <c r="H62" s="15" t="n"/>
      <c r="I62" s="21" t="n"/>
      <c r="J62" s="15" t="n"/>
      <c r="K62" s="20" t="n"/>
      <c r="L62" s="20" t="n"/>
      <c r="M62" s="20" t="n"/>
      <c r="N62" s="20" t="n"/>
      <c r="O62" s="20" t="n"/>
      <c r="P62" s="30">
        <f>IF(AND(A62="",COUNT(L62:O62)=0),"",SUM(L62:O62))</f>
        <v/>
      </c>
      <c r="Q62" s="31">
        <f>IF(OR(P62="",NOT(ISNUMBER(K62))),"",K62-P62)</f>
        <v/>
      </c>
      <c r="R62" s="32">
        <f>IF(Q62="","",IF(K62&gt;0,Q62/K62,"－"))</f>
        <v/>
      </c>
      <c r="S62" s="33" t="n"/>
      <c r="T62" s="34">
        <f>IF(A62="",IF(COUNTA(B62:O62,S62)&gt;0,"案件番号がありません",""),IF(COUNTIF($A$6:$A$105,A62)&gt;1,"同じ案件番号があります",IF(H62="","状態を選んでください",IF(NOT(OR(H62="見積中",H62="進行中",H62="完了",H62="中止")),"状態は一覧から選びます",IF(AND(H62="完了",NOT(ISNUMBER(G62))),"完了日がありません（月別集計に入りません）",IF(NOT(ISNUMBER(K62)),"受注金額がありません（粗利が出ません）",""))))))</f>
        <v/>
      </c>
    </row>
    <row r="63" ht="18" customHeight="1">
      <c r="A63" s="15" t="n"/>
      <c r="B63" s="28" t="n"/>
      <c r="C63" s="28" t="n"/>
      <c r="D63" s="28" t="n"/>
      <c r="E63" s="28" t="n"/>
      <c r="F63" s="29" t="n"/>
      <c r="G63" s="29" t="n"/>
      <c r="H63" s="15" t="n"/>
      <c r="I63" s="21" t="n"/>
      <c r="J63" s="15" t="n"/>
      <c r="K63" s="20" t="n"/>
      <c r="L63" s="20" t="n"/>
      <c r="M63" s="20" t="n"/>
      <c r="N63" s="20" t="n"/>
      <c r="O63" s="20" t="n"/>
      <c r="P63" s="30">
        <f>IF(AND(A63="",COUNT(L63:O63)=0),"",SUM(L63:O63))</f>
        <v/>
      </c>
      <c r="Q63" s="31">
        <f>IF(OR(P63="",NOT(ISNUMBER(K63))),"",K63-P63)</f>
        <v/>
      </c>
      <c r="R63" s="32">
        <f>IF(Q63="","",IF(K63&gt;0,Q63/K63,"－"))</f>
        <v/>
      </c>
      <c r="S63" s="33" t="n"/>
      <c r="T63" s="34">
        <f>IF(A63="",IF(COUNTA(B63:O63,S63)&gt;0,"案件番号がありません",""),IF(COUNTIF($A$6:$A$105,A63)&gt;1,"同じ案件番号があります",IF(H63="","状態を選んでください",IF(NOT(OR(H63="見積中",H63="進行中",H63="完了",H63="中止")),"状態は一覧から選びます",IF(AND(H63="完了",NOT(ISNUMBER(G63))),"完了日がありません（月別集計に入りません）",IF(NOT(ISNUMBER(K63)),"受注金額がありません（粗利が出ません）",""))))))</f>
        <v/>
      </c>
    </row>
    <row r="64" ht="18" customHeight="1">
      <c r="A64" s="15" t="n"/>
      <c r="B64" s="28" t="n"/>
      <c r="C64" s="28" t="n"/>
      <c r="D64" s="28" t="n"/>
      <c r="E64" s="28" t="n"/>
      <c r="F64" s="29" t="n"/>
      <c r="G64" s="29" t="n"/>
      <c r="H64" s="15" t="n"/>
      <c r="I64" s="21" t="n"/>
      <c r="J64" s="15" t="n"/>
      <c r="K64" s="20" t="n"/>
      <c r="L64" s="20" t="n"/>
      <c r="M64" s="20" t="n"/>
      <c r="N64" s="20" t="n"/>
      <c r="O64" s="20" t="n"/>
      <c r="P64" s="30">
        <f>IF(AND(A64="",COUNT(L64:O64)=0),"",SUM(L64:O64))</f>
        <v/>
      </c>
      <c r="Q64" s="31">
        <f>IF(OR(P64="",NOT(ISNUMBER(K64))),"",K64-P64)</f>
        <v/>
      </c>
      <c r="R64" s="32">
        <f>IF(Q64="","",IF(K64&gt;0,Q64/K64,"－"))</f>
        <v/>
      </c>
      <c r="S64" s="33" t="n"/>
      <c r="T64" s="34">
        <f>IF(A64="",IF(COUNTA(B64:O64,S64)&gt;0,"案件番号がありません",""),IF(COUNTIF($A$6:$A$105,A64)&gt;1,"同じ案件番号があります",IF(H64="","状態を選んでください",IF(NOT(OR(H64="見積中",H64="進行中",H64="完了",H64="中止")),"状態は一覧から選びます",IF(AND(H64="完了",NOT(ISNUMBER(G64))),"完了日がありません（月別集計に入りません）",IF(NOT(ISNUMBER(K64)),"受注金額がありません（粗利が出ません）",""))))))</f>
        <v/>
      </c>
    </row>
    <row r="65" ht="18" customHeight="1">
      <c r="A65" s="15" t="n"/>
      <c r="B65" s="28" t="n"/>
      <c r="C65" s="28" t="n"/>
      <c r="D65" s="28" t="n"/>
      <c r="E65" s="28" t="n"/>
      <c r="F65" s="29" t="n"/>
      <c r="G65" s="29" t="n"/>
      <c r="H65" s="15" t="n"/>
      <c r="I65" s="21" t="n"/>
      <c r="J65" s="15" t="n"/>
      <c r="K65" s="20" t="n"/>
      <c r="L65" s="20" t="n"/>
      <c r="M65" s="20" t="n"/>
      <c r="N65" s="20" t="n"/>
      <c r="O65" s="20" t="n"/>
      <c r="P65" s="30">
        <f>IF(AND(A65="",COUNT(L65:O65)=0),"",SUM(L65:O65))</f>
        <v/>
      </c>
      <c r="Q65" s="31">
        <f>IF(OR(P65="",NOT(ISNUMBER(K65))),"",K65-P65)</f>
        <v/>
      </c>
      <c r="R65" s="32">
        <f>IF(Q65="","",IF(K65&gt;0,Q65/K65,"－"))</f>
        <v/>
      </c>
      <c r="S65" s="33" t="n"/>
      <c r="T65" s="34">
        <f>IF(A65="",IF(COUNTA(B65:O65,S65)&gt;0,"案件番号がありません",""),IF(COUNTIF($A$6:$A$105,A65)&gt;1,"同じ案件番号があります",IF(H65="","状態を選んでください",IF(NOT(OR(H65="見積中",H65="進行中",H65="完了",H65="中止")),"状態は一覧から選びます",IF(AND(H65="完了",NOT(ISNUMBER(G65))),"完了日がありません（月別集計に入りません）",IF(NOT(ISNUMBER(K65)),"受注金額がありません（粗利が出ません）",""))))))</f>
        <v/>
      </c>
    </row>
    <row r="66" ht="18" customHeight="1">
      <c r="A66" s="15" t="n"/>
      <c r="B66" s="28" t="n"/>
      <c r="C66" s="28" t="n"/>
      <c r="D66" s="28" t="n"/>
      <c r="E66" s="28" t="n"/>
      <c r="F66" s="29" t="n"/>
      <c r="G66" s="29" t="n"/>
      <c r="H66" s="15" t="n"/>
      <c r="I66" s="21" t="n"/>
      <c r="J66" s="15" t="n"/>
      <c r="K66" s="20" t="n"/>
      <c r="L66" s="20" t="n"/>
      <c r="M66" s="20" t="n"/>
      <c r="N66" s="20" t="n"/>
      <c r="O66" s="20" t="n"/>
      <c r="P66" s="30">
        <f>IF(AND(A66="",COUNT(L66:O66)=0),"",SUM(L66:O66))</f>
        <v/>
      </c>
      <c r="Q66" s="31">
        <f>IF(OR(P66="",NOT(ISNUMBER(K66))),"",K66-P66)</f>
        <v/>
      </c>
      <c r="R66" s="32">
        <f>IF(Q66="","",IF(K66&gt;0,Q66/K66,"－"))</f>
        <v/>
      </c>
      <c r="S66" s="33" t="n"/>
      <c r="T66" s="34">
        <f>IF(A66="",IF(COUNTA(B66:O66,S66)&gt;0,"案件番号がありません",""),IF(COUNTIF($A$6:$A$105,A66)&gt;1,"同じ案件番号があります",IF(H66="","状態を選んでください",IF(NOT(OR(H66="見積中",H66="進行中",H66="完了",H66="中止")),"状態は一覧から選びます",IF(AND(H66="完了",NOT(ISNUMBER(G66))),"完了日がありません（月別集計に入りません）",IF(NOT(ISNUMBER(K66)),"受注金額がありません（粗利が出ません）",""))))))</f>
        <v/>
      </c>
    </row>
    <row r="67" ht="18" customHeight="1">
      <c r="A67" s="15" t="n"/>
      <c r="B67" s="28" t="n"/>
      <c r="C67" s="28" t="n"/>
      <c r="D67" s="28" t="n"/>
      <c r="E67" s="28" t="n"/>
      <c r="F67" s="29" t="n"/>
      <c r="G67" s="29" t="n"/>
      <c r="H67" s="15" t="n"/>
      <c r="I67" s="21" t="n"/>
      <c r="J67" s="15" t="n"/>
      <c r="K67" s="20" t="n"/>
      <c r="L67" s="20" t="n"/>
      <c r="M67" s="20" t="n"/>
      <c r="N67" s="20" t="n"/>
      <c r="O67" s="20" t="n"/>
      <c r="P67" s="30">
        <f>IF(AND(A67="",COUNT(L67:O67)=0),"",SUM(L67:O67))</f>
        <v/>
      </c>
      <c r="Q67" s="31">
        <f>IF(OR(P67="",NOT(ISNUMBER(K67))),"",K67-P67)</f>
        <v/>
      </c>
      <c r="R67" s="32">
        <f>IF(Q67="","",IF(K67&gt;0,Q67/K67,"－"))</f>
        <v/>
      </c>
      <c r="S67" s="33" t="n"/>
      <c r="T67" s="34">
        <f>IF(A67="",IF(COUNTA(B67:O67,S67)&gt;0,"案件番号がありません",""),IF(COUNTIF($A$6:$A$105,A67)&gt;1,"同じ案件番号があります",IF(H67="","状態を選んでください",IF(NOT(OR(H67="見積中",H67="進行中",H67="完了",H67="中止")),"状態は一覧から選びます",IF(AND(H67="完了",NOT(ISNUMBER(G67))),"完了日がありません（月別集計に入りません）",IF(NOT(ISNUMBER(K67)),"受注金額がありません（粗利が出ません）",""))))))</f>
        <v/>
      </c>
    </row>
    <row r="68" ht="18" customHeight="1">
      <c r="A68" s="15" t="n"/>
      <c r="B68" s="28" t="n"/>
      <c r="C68" s="28" t="n"/>
      <c r="D68" s="28" t="n"/>
      <c r="E68" s="28" t="n"/>
      <c r="F68" s="29" t="n"/>
      <c r="G68" s="29" t="n"/>
      <c r="H68" s="15" t="n"/>
      <c r="I68" s="21" t="n"/>
      <c r="J68" s="15" t="n"/>
      <c r="K68" s="20" t="n"/>
      <c r="L68" s="20" t="n"/>
      <c r="M68" s="20" t="n"/>
      <c r="N68" s="20" t="n"/>
      <c r="O68" s="20" t="n"/>
      <c r="P68" s="30">
        <f>IF(AND(A68="",COUNT(L68:O68)=0),"",SUM(L68:O68))</f>
        <v/>
      </c>
      <c r="Q68" s="31">
        <f>IF(OR(P68="",NOT(ISNUMBER(K68))),"",K68-P68)</f>
        <v/>
      </c>
      <c r="R68" s="32">
        <f>IF(Q68="","",IF(K68&gt;0,Q68/K68,"－"))</f>
        <v/>
      </c>
      <c r="S68" s="33" t="n"/>
      <c r="T68" s="34">
        <f>IF(A68="",IF(COUNTA(B68:O68,S68)&gt;0,"案件番号がありません",""),IF(COUNTIF($A$6:$A$105,A68)&gt;1,"同じ案件番号があります",IF(H68="","状態を選んでください",IF(NOT(OR(H68="見積中",H68="進行中",H68="完了",H68="中止")),"状態は一覧から選びます",IF(AND(H68="完了",NOT(ISNUMBER(G68))),"完了日がありません（月別集計に入りません）",IF(NOT(ISNUMBER(K68)),"受注金額がありません（粗利が出ません）",""))))))</f>
        <v/>
      </c>
    </row>
    <row r="69" ht="18" customHeight="1">
      <c r="A69" s="15" t="n"/>
      <c r="B69" s="28" t="n"/>
      <c r="C69" s="28" t="n"/>
      <c r="D69" s="28" t="n"/>
      <c r="E69" s="28" t="n"/>
      <c r="F69" s="29" t="n"/>
      <c r="G69" s="29" t="n"/>
      <c r="H69" s="15" t="n"/>
      <c r="I69" s="21" t="n"/>
      <c r="J69" s="15" t="n"/>
      <c r="K69" s="20" t="n"/>
      <c r="L69" s="20" t="n"/>
      <c r="M69" s="20" t="n"/>
      <c r="N69" s="20" t="n"/>
      <c r="O69" s="20" t="n"/>
      <c r="P69" s="30">
        <f>IF(AND(A69="",COUNT(L69:O69)=0),"",SUM(L69:O69))</f>
        <v/>
      </c>
      <c r="Q69" s="31">
        <f>IF(OR(P69="",NOT(ISNUMBER(K69))),"",K69-P69)</f>
        <v/>
      </c>
      <c r="R69" s="32">
        <f>IF(Q69="","",IF(K69&gt;0,Q69/K69,"－"))</f>
        <v/>
      </c>
      <c r="S69" s="33" t="n"/>
      <c r="T69" s="34">
        <f>IF(A69="",IF(COUNTA(B69:O69,S69)&gt;0,"案件番号がありません",""),IF(COUNTIF($A$6:$A$105,A69)&gt;1,"同じ案件番号があります",IF(H69="","状態を選んでください",IF(NOT(OR(H69="見積中",H69="進行中",H69="完了",H69="中止")),"状態は一覧から選びます",IF(AND(H69="完了",NOT(ISNUMBER(G69))),"完了日がありません（月別集計に入りません）",IF(NOT(ISNUMBER(K69)),"受注金額がありません（粗利が出ません）",""))))))</f>
        <v/>
      </c>
    </row>
    <row r="70" ht="18" customHeight="1">
      <c r="A70" s="15" t="n"/>
      <c r="B70" s="28" t="n"/>
      <c r="C70" s="28" t="n"/>
      <c r="D70" s="28" t="n"/>
      <c r="E70" s="28" t="n"/>
      <c r="F70" s="29" t="n"/>
      <c r="G70" s="29" t="n"/>
      <c r="H70" s="15" t="n"/>
      <c r="I70" s="21" t="n"/>
      <c r="J70" s="15" t="n"/>
      <c r="K70" s="20" t="n"/>
      <c r="L70" s="20" t="n"/>
      <c r="M70" s="20" t="n"/>
      <c r="N70" s="20" t="n"/>
      <c r="O70" s="20" t="n"/>
      <c r="P70" s="30">
        <f>IF(AND(A70="",COUNT(L70:O70)=0),"",SUM(L70:O70))</f>
        <v/>
      </c>
      <c r="Q70" s="31">
        <f>IF(OR(P70="",NOT(ISNUMBER(K70))),"",K70-P70)</f>
        <v/>
      </c>
      <c r="R70" s="32">
        <f>IF(Q70="","",IF(K70&gt;0,Q70/K70,"－"))</f>
        <v/>
      </c>
      <c r="S70" s="33" t="n"/>
      <c r="T70" s="34">
        <f>IF(A70="",IF(COUNTA(B70:O70,S70)&gt;0,"案件番号がありません",""),IF(COUNTIF($A$6:$A$105,A70)&gt;1,"同じ案件番号があります",IF(H70="","状態を選んでください",IF(NOT(OR(H70="見積中",H70="進行中",H70="完了",H70="中止")),"状態は一覧から選びます",IF(AND(H70="完了",NOT(ISNUMBER(G70))),"完了日がありません（月別集計に入りません）",IF(NOT(ISNUMBER(K70)),"受注金額がありません（粗利が出ません）",""))))))</f>
        <v/>
      </c>
    </row>
    <row r="71" ht="18" customHeight="1">
      <c r="A71" s="15" t="n"/>
      <c r="B71" s="28" t="n"/>
      <c r="C71" s="28" t="n"/>
      <c r="D71" s="28" t="n"/>
      <c r="E71" s="28" t="n"/>
      <c r="F71" s="29" t="n"/>
      <c r="G71" s="29" t="n"/>
      <c r="H71" s="15" t="n"/>
      <c r="I71" s="21" t="n"/>
      <c r="J71" s="15" t="n"/>
      <c r="K71" s="20" t="n"/>
      <c r="L71" s="20" t="n"/>
      <c r="M71" s="20" t="n"/>
      <c r="N71" s="20" t="n"/>
      <c r="O71" s="20" t="n"/>
      <c r="P71" s="30">
        <f>IF(AND(A71="",COUNT(L71:O71)=0),"",SUM(L71:O71))</f>
        <v/>
      </c>
      <c r="Q71" s="31">
        <f>IF(OR(P71="",NOT(ISNUMBER(K71))),"",K71-P71)</f>
        <v/>
      </c>
      <c r="R71" s="32">
        <f>IF(Q71="","",IF(K71&gt;0,Q71/K71,"－"))</f>
        <v/>
      </c>
      <c r="S71" s="33" t="n"/>
      <c r="T71" s="34">
        <f>IF(A71="",IF(COUNTA(B71:O71,S71)&gt;0,"案件番号がありません",""),IF(COUNTIF($A$6:$A$105,A71)&gt;1,"同じ案件番号があります",IF(H71="","状態を選んでください",IF(NOT(OR(H71="見積中",H71="進行中",H71="完了",H71="中止")),"状態は一覧から選びます",IF(AND(H71="完了",NOT(ISNUMBER(G71))),"完了日がありません（月別集計に入りません）",IF(NOT(ISNUMBER(K71)),"受注金額がありません（粗利が出ません）",""))))))</f>
        <v/>
      </c>
    </row>
    <row r="72" ht="18" customHeight="1">
      <c r="A72" s="15" t="n"/>
      <c r="B72" s="28" t="n"/>
      <c r="C72" s="28" t="n"/>
      <c r="D72" s="28" t="n"/>
      <c r="E72" s="28" t="n"/>
      <c r="F72" s="29" t="n"/>
      <c r="G72" s="29" t="n"/>
      <c r="H72" s="15" t="n"/>
      <c r="I72" s="21" t="n"/>
      <c r="J72" s="15" t="n"/>
      <c r="K72" s="20" t="n"/>
      <c r="L72" s="20" t="n"/>
      <c r="M72" s="20" t="n"/>
      <c r="N72" s="20" t="n"/>
      <c r="O72" s="20" t="n"/>
      <c r="P72" s="30">
        <f>IF(AND(A72="",COUNT(L72:O72)=0),"",SUM(L72:O72))</f>
        <v/>
      </c>
      <c r="Q72" s="31">
        <f>IF(OR(P72="",NOT(ISNUMBER(K72))),"",K72-P72)</f>
        <v/>
      </c>
      <c r="R72" s="32">
        <f>IF(Q72="","",IF(K72&gt;0,Q72/K72,"－"))</f>
        <v/>
      </c>
      <c r="S72" s="33" t="n"/>
      <c r="T72" s="34">
        <f>IF(A72="",IF(COUNTA(B72:O72,S72)&gt;0,"案件番号がありません",""),IF(COUNTIF($A$6:$A$105,A72)&gt;1,"同じ案件番号があります",IF(H72="","状態を選んでください",IF(NOT(OR(H72="見積中",H72="進行中",H72="完了",H72="中止")),"状態は一覧から選びます",IF(AND(H72="完了",NOT(ISNUMBER(G72))),"完了日がありません（月別集計に入りません）",IF(NOT(ISNUMBER(K72)),"受注金額がありません（粗利が出ません）",""))))))</f>
        <v/>
      </c>
    </row>
    <row r="73" ht="18" customHeight="1">
      <c r="A73" s="15" t="n"/>
      <c r="B73" s="28" t="n"/>
      <c r="C73" s="28" t="n"/>
      <c r="D73" s="28" t="n"/>
      <c r="E73" s="28" t="n"/>
      <c r="F73" s="29" t="n"/>
      <c r="G73" s="29" t="n"/>
      <c r="H73" s="15" t="n"/>
      <c r="I73" s="21" t="n"/>
      <c r="J73" s="15" t="n"/>
      <c r="K73" s="20" t="n"/>
      <c r="L73" s="20" t="n"/>
      <c r="M73" s="20" t="n"/>
      <c r="N73" s="20" t="n"/>
      <c r="O73" s="20" t="n"/>
      <c r="P73" s="30">
        <f>IF(AND(A73="",COUNT(L73:O73)=0),"",SUM(L73:O73))</f>
        <v/>
      </c>
      <c r="Q73" s="31">
        <f>IF(OR(P73="",NOT(ISNUMBER(K73))),"",K73-P73)</f>
        <v/>
      </c>
      <c r="R73" s="32">
        <f>IF(Q73="","",IF(K73&gt;0,Q73/K73,"－"))</f>
        <v/>
      </c>
      <c r="S73" s="33" t="n"/>
      <c r="T73" s="34">
        <f>IF(A73="",IF(COUNTA(B73:O73,S73)&gt;0,"案件番号がありません",""),IF(COUNTIF($A$6:$A$105,A73)&gt;1,"同じ案件番号があります",IF(H73="","状態を選んでください",IF(NOT(OR(H73="見積中",H73="進行中",H73="完了",H73="中止")),"状態は一覧から選びます",IF(AND(H73="完了",NOT(ISNUMBER(G73))),"完了日がありません（月別集計に入りません）",IF(NOT(ISNUMBER(K73)),"受注金額がありません（粗利が出ません）",""))))))</f>
        <v/>
      </c>
    </row>
    <row r="74" ht="18" customHeight="1">
      <c r="A74" s="15" t="n"/>
      <c r="B74" s="28" t="n"/>
      <c r="C74" s="28" t="n"/>
      <c r="D74" s="28" t="n"/>
      <c r="E74" s="28" t="n"/>
      <c r="F74" s="29" t="n"/>
      <c r="G74" s="29" t="n"/>
      <c r="H74" s="15" t="n"/>
      <c r="I74" s="21" t="n"/>
      <c r="J74" s="15" t="n"/>
      <c r="K74" s="20" t="n"/>
      <c r="L74" s="20" t="n"/>
      <c r="M74" s="20" t="n"/>
      <c r="N74" s="20" t="n"/>
      <c r="O74" s="20" t="n"/>
      <c r="P74" s="30">
        <f>IF(AND(A74="",COUNT(L74:O74)=0),"",SUM(L74:O74))</f>
        <v/>
      </c>
      <c r="Q74" s="31">
        <f>IF(OR(P74="",NOT(ISNUMBER(K74))),"",K74-P74)</f>
        <v/>
      </c>
      <c r="R74" s="32">
        <f>IF(Q74="","",IF(K74&gt;0,Q74/K74,"－"))</f>
        <v/>
      </c>
      <c r="S74" s="33" t="n"/>
      <c r="T74" s="34">
        <f>IF(A74="",IF(COUNTA(B74:O74,S74)&gt;0,"案件番号がありません",""),IF(COUNTIF($A$6:$A$105,A74)&gt;1,"同じ案件番号があります",IF(H74="","状態を選んでください",IF(NOT(OR(H74="見積中",H74="進行中",H74="完了",H74="中止")),"状態は一覧から選びます",IF(AND(H74="完了",NOT(ISNUMBER(G74))),"完了日がありません（月別集計に入りません）",IF(NOT(ISNUMBER(K74)),"受注金額がありません（粗利が出ません）",""))))))</f>
        <v/>
      </c>
    </row>
    <row r="75" ht="18" customHeight="1">
      <c r="A75" s="15" t="n"/>
      <c r="B75" s="28" t="n"/>
      <c r="C75" s="28" t="n"/>
      <c r="D75" s="28" t="n"/>
      <c r="E75" s="28" t="n"/>
      <c r="F75" s="29" t="n"/>
      <c r="G75" s="29" t="n"/>
      <c r="H75" s="15" t="n"/>
      <c r="I75" s="21" t="n"/>
      <c r="J75" s="15" t="n"/>
      <c r="K75" s="20" t="n"/>
      <c r="L75" s="20" t="n"/>
      <c r="M75" s="20" t="n"/>
      <c r="N75" s="20" t="n"/>
      <c r="O75" s="20" t="n"/>
      <c r="P75" s="30">
        <f>IF(AND(A75="",COUNT(L75:O75)=0),"",SUM(L75:O75))</f>
        <v/>
      </c>
      <c r="Q75" s="31">
        <f>IF(OR(P75="",NOT(ISNUMBER(K75))),"",K75-P75)</f>
        <v/>
      </c>
      <c r="R75" s="32">
        <f>IF(Q75="","",IF(K75&gt;0,Q75/K75,"－"))</f>
        <v/>
      </c>
      <c r="S75" s="33" t="n"/>
      <c r="T75" s="34">
        <f>IF(A75="",IF(COUNTA(B75:O75,S75)&gt;0,"案件番号がありません",""),IF(COUNTIF($A$6:$A$105,A75)&gt;1,"同じ案件番号があります",IF(H75="","状態を選んでください",IF(NOT(OR(H75="見積中",H75="進行中",H75="完了",H75="中止")),"状態は一覧から選びます",IF(AND(H75="完了",NOT(ISNUMBER(G75))),"完了日がありません（月別集計に入りません）",IF(NOT(ISNUMBER(K75)),"受注金額がありません（粗利が出ません）",""))))))</f>
        <v/>
      </c>
    </row>
    <row r="76" ht="18" customHeight="1">
      <c r="A76" s="15" t="n"/>
      <c r="B76" s="28" t="n"/>
      <c r="C76" s="28" t="n"/>
      <c r="D76" s="28" t="n"/>
      <c r="E76" s="28" t="n"/>
      <c r="F76" s="29" t="n"/>
      <c r="G76" s="29" t="n"/>
      <c r="H76" s="15" t="n"/>
      <c r="I76" s="21" t="n"/>
      <c r="J76" s="15" t="n"/>
      <c r="K76" s="20" t="n"/>
      <c r="L76" s="20" t="n"/>
      <c r="M76" s="20" t="n"/>
      <c r="N76" s="20" t="n"/>
      <c r="O76" s="20" t="n"/>
      <c r="P76" s="30">
        <f>IF(AND(A76="",COUNT(L76:O76)=0),"",SUM(L76:O76))</f>
        <v/>
      </c>
      <c r="Q76" s="31">
        <f>IF(OR(P76="",NOT(ISNUMBER(K76))),"",K76-P76)</f>
        <v/>
      </c>
      <c r="R76" s="32">
        <f>IF(Q76="","",IF(K76&gt;0,Q76/K76,"－"))</f>
        <v/>
      </c>
      <c r="S76" s="33" t="n"/>
      <c r="T76" s="34">
        <f>IF(A76="",IF(COUNTA(B76:O76,S76)&gt;0,"案件番号がありません",""),IF(COUNTIF($A$6:$A$105,A76)&gt;1,"同じ案件番号があります",IF(H76="","状態を選んでください",IF(NOT(OR(H76="見積中",H76="進行中",H76="完了",H76="中止")),"状態は一覧から選びます",IF(AND(H76="完了",NOT(ISNUMBER(G76))),"完了日がありません（月別集計に入りません）",IF(NOT(ISNUMBER(K76)),"受注金額がありません（粗利が出ません）",""))))))</f>
        <v/>
      </c>
    </row>
    <row r="77" ht="18" customHeight="1">
      <c r="A77" s="15" t="n"/>
      <c r="B77" s="28" t="n"/>
      <c r="C77" s="28" t="n"/>
      <c r="D77" s="28" t="n"/>
      <c r="E77" s="28" t="n"/>
      <c r="F77" s="29" t="n"/>
      <c r="G77" s="29" t="n"/>
      <c r="H77" s="15" t="n"/>
      <c r="I77" s="21" t="n"/>
      <c r="J77" s="15" t="n"/>
      <c r="K77" s="20" t="n"/>
      <c r="L77" s="20" t="n"/>
      <c r="M77" s="20" t="n"/>
      <c r="N77" s="20" t="n"/>
      <c r="O77" s="20" t="n"/>
      <c r="P77" s="30">
        <f>IF(AND(A77="",COUNT(L77:O77)=0),"",SUM(L77:O77))</f>
        <v/>
      </c>
      <c r="Q77" s="31">
        <f>IF(OR(P77="",NOT(ISNUMBER(K77))),"",K77-P77)</f>
        <v/>
      </c>
      <c r="R77" s="32">
        <f>IF(Q77="","",IF(K77&gt;0,Q77/K77,"－"))</f>
        <v/>
      </c>
      <c r="S77" s="33" t="n"/>
      <c r="T77" s="34">
        <f>IF(A77="",IF(COUNTA(B77:O77,S77)&gt;0,"案件番号がありません",""),IF(COUNTIF($A$6:$A$105,A77)&gt;1,"同じ案件番号があります",IF(H77="","状態を選んでください",IF(NOT(OR(H77="見積中",H77="進行中",H77="完了",H77="中止")),"状態は一覧から選びます",IF(AND(H77="完了",NOT(ISNUMBER(G77))),"完了日がありません（月別集計に入りません）",IF(NOT(ISNUMBER(K77)),"受注金額がありません（粗利が出ません）",""))))))</f>
        <v/>
      </c>
    </row>
    <row r="78" ht="18" customHeight="1">
      <c r="A78" s="15" t="n"/>
      <c r="B78" s="28" t="n"/>
      <c r="C78" s="28" t="n"/>
      <c r="D78" s="28" t="n"/>
      <c r="E78" s="28" t="n"/>
      <c r="F78" s="29" t="n"/>
      <c r="G78" s="29" t="n"/>
      <c r="H78" s="15" t="n"/>
      <c r="I78" s="21" t="n"/>
      <c r="J78" s="15" t="n"/>
      <c r="K78" s="20" t="n"/>
      <c r="L78" s="20" t="n"/>
      <c r="M78" s="20" t="n"/>
      <c r="N78" s="20" t="n"/>
      <c r="O78" s="20" t="n"/>
      <c r="P78" s="30">
        <f>IF(AND(A78="",COUNT(L78:O78)=0),"",SUM(L78:O78))</f>
        <v/>
      </c>
      <c r="Q78" s="31">
        <f>IF(OR(P78="",NOT(ISNUMBER(K78))),"",K78-P78)</f>
        <v/>
      </c>
      <c r="R78" s="32">
        <f>IF(Q78="","",IF(K78&gt;0,Q78/K78,"－"))</f>
        <v/>
      </c>
      <c r="S78" s="33" t="n"/>
      <c r="T78" s="34">
        <f>IF(A78="",IF(COUNTA(B78:O78,S78)&gt;0,"案件番号がありません",""),IF(COUNTIF($A$6:$A$105,A78)&gt;1,"同じ案件番号があります",IF(H78="","状態を選んでください",IF(NOT(OR(H78="見積中",H78="進行中",H78="完了",H78="中止")),"状態は一覧から選びます",IF(AND(H78="完了",NOT(ISNUMBER(G78))),"完了日がありません（月別集計に入りません）",IF(NOT(ISNUMBER(K78)),"受注金額がありません（粗利が出ません）",""))))))</f>
        <v/>
      </c>
    </row>
    <row r="79" ht="18" customHeight="1">
      <c r="A79" s="15" t="n"/>
      <c r="B79" s="28" t="n"/>
      <c r="C79" s="28" t="n"/>
      <c r="D79" s="28" t="n"/>
      <c r="E79" s="28" t="n"/>
      <c r="F79" s="29" t="n"/>
      <c r="G79" s="29" t="n"/>
      <c r="H79" s="15" t="n"/>
      <c r="I79" s="21" t="n"/>
      <c r="J79" s="15" t="n"/>
      <c r="K79" s="20" t="n"/>
      <c r="L79" s="20" t="n"/>
      <c r="M79" s="20" t="n"/>
      <c r="N79" s="20" t="n"/>
      <c r="O79" s="20" t="n"/>
      <c r="P79" s="30">
        <f>IF(AND(A79="",COUNT(L79:O79)=0),"",SUM(L79:O79))</f>
        <v/>
      </c>
      <c r="Q79" s="31">
        <f>IF(OR(P79="",NOT(ISNUMBER(K79))),"",K79-P79)</f>
        <v/>
      </c>
      <c r="R79" s="32">
        <f>IF(Q79="","",IF(K79&gt;0,Q79/K79,"－"))</f>
        <v/>
      </c>
      <c r="S79" s="33" t="n"/>
      <c r="T79" s="34">
        <f>IF(A79="",IF(COUNTA(B79:O79,S79)&gt;0,"案件番号がありません",""),IF(COUNTIF($A$6:$A$105,A79)&gt;1,"同じ案件番号があります",IF(H79="","状態を選んでください",IF(NOT(OR(H79="見積中",H79="進行中",H79="完了",H79="中止")),"状態は一覧から選びます",IF(AND(H79="完了",NOT(ISNUMBER(G79))),"完了日がありません（月別集計に入りません）",IF(NOT(ISNUMBER(K79)),"受注金額がありません（粗利が出ません）",""))))))</f>
        <v/>
      </c>
    </row>
    <row r="80" ht="18" customHeight="1">
      <c r="A80" s="15" t="n"/>
      <c r="B80" s="28" t="n"/>
      <c r="C80" s="28" t="n"/>
      <c r="D80" s="28" t="n"/>
      <c r="E80" s="28" t="n"/>
      <c r="F80" s="29" t="n"/>
      <c r="G80" s="29" t="n"/>
      <c r="H80" s="15" t="n"/>
      <c r="I80" s="21" t="n"/>
      <c r="J80" s="15" t="n"/>
      <c r="K80" s="20" t="n"/>
      <c r="L80" s="20" t="n"/>
      <c r="M80" s="20" t="n"/>
      <c r="N80" s="20" t="n"/>
      <c r="O80" s="20" t="n"/>
      <c r="P80" s="30">
        <f>IF(AND(A80="",COUNT(L80:O80)=0),"",SUM(L80:O80))</f>
        <v/>
      </c>
      <c r="Q80" s="31">
        <f>IF(OR(P80="",NOT(ISNUMBER(K80))),"",K80-P80)</f>
        <v/>
      </c>
      <c r="R80" s="32">
        <f>IF(Q80="","",IF(K80&gt;0,Q80/K80,"－"))</f>
        <v/>
      </c>
      <c r="S80" s="33" t="n"/>
      <c r="T80" s="34">
        <f>IF(A80="",IF(COUNTA(B80:O80,S80)&gt;0,"案件番号がありません",""),IF(COUNTIF($A$6:$A$105,A80)&gt;1,"同じ案件番号があります",IF(H80="","状態を選んでください",IF(NOT(OR(H80="見積中",H80="進行中",H80="完了",H80="中止")),"状態は一覧から選びます",IF(AND(H80="完了",NOT(ISNUMBER(G80))),"完了日がありません（月別集計に入りません）",IF(NOT(ISNUMBER(K80)),"受注金額がありません（粗利が出ません）",""))))))</f>
        <v/>
      </c>
    </row>
    <row r="81" ht="18" customHeight="1">
      <c r="A81" s="15" t="n"/>
      <c r="B81" s="28" t="n"/>
      <c r="C81" s="28" t="n"/>
      <c r="D81" s="28" t="n"/>
      <c r="E81" s="28" t="n"/>
      <c r="F81" s="29" t="n"/>
      <c r="G81" s="29" t="n"/>
      <c r="H81" s="15" t="n"/>
      <c r="I81" s="21" t="n"/>
      <c r="J81" s="15" t="n"/>
      <c r="K81" s="20" t="n"/>
      <c r="L81" s="20" t="n"/>
      <c r="M81" s="20" t="n"/>
      <c r="N81" s="20" t="n"/>
      <c r="O81" s="20" t="n"/>
      <c r="P81" s="30">
        <f>IF(AND(A81="",COUNT(L81:O81)=0),"",SUM(L81:O81))</f>
        <v/>
      </c>
      <c r="Q81" s="31">
        <f>IF(OR(P81="",NOT(ISNUMBER(K81))),"",K81-P81)</f>
        <v/>
      </c>
      <c r="R81" s="32">
        <f>IF(Q81="","",IF(K81&gt;0,Q81/K81,"－"))</f>
        <v/>
      </c>
      <c r="S81" s="33" t="n"/>
      <c r="T81" s="34">
        <f>IF(A81="",IF(COUNTA(B81:O81,S81)&gt;0,"案件番号がありません",""),IF(COUNTIF($A$6:$A$105,A81)&gt;1,"同じ案件番号があります",IF(H81="","状態を選んでください",IF(NOT(OR(H81="見積中",H81="進行中",H81="完了",H81="中止")),"状態は一覧から選びます",IF(AND(H81="完了",NOT(ISNUMBER(G81))),"完了日がありません（月別集計に入りません）",IF(NOT(ISNUMBER(K81)),"受注金額がありません（粗利が出ません）",""))))))</f>
        <v/>
      </c>
    </row>
    <row r="82" ht="18" customHeight="1">
      <c r="A82" s="15" t="n"/>
      <c r="B82" s="28" t="n"/>
      <c r="C82" s="28" t="n"/>
      <c r="D82" s="28" t="n"/>
      <c r="E82" s="28" t="n"/>
      <c r="F82" s="29" t="n"/>
      <c r="G82" s="29" t="n"/>
      <c r="H82" s="15" t="n"/>
      <c r="I82" s="21" t="n"/>
      <c r="J82" s="15" t="n"/>
      <c r="K82" s="20" t="n"/>
      <c r="L82" s="20" t="n"/>
      <c r="M82" s="20" t="n"/>
      <c r="N82" s="20" t="n"/>
      <c r="O82" s="20" t="n"/>
      <c r="P82" s="30">
        <f>IF(AND(A82="",COUNT(L82:O82)=0),"",SUM(L82:O82))</f>
        <v/>
      </c>
      <c r="Q82" s="31">
        <f>IF(OR(P82="",NOT(ISNUMBER(K82))),"",K82-P82)</f>
        <v/>
      </c>
      <c r="R82" s="32">
        <f>IF(Q82="","",IF(K82&gt;0,Q82/K82,"－"))</f>
        <v/>
      </c>
      <c r="S82" s="33" t="n"/>
      <c r="T82" s="34">
        <f>IF(A82="",IF(COUNTA(B82:O82,S82)&gt;0,"案件番号がありません",""),IF(COUNTIF($A$6:$A$105,A82)&gt;1,"同じ案件番号があります",IF(H82="","状態を選んでください",IF(NOT(OR(H82="見積中",H82="進行中",H82="完了",H82="中止")),"状態は一覧から選びます",IF(AND(H82="完了",NOT(ISNUMBER(G82))),"完了日がありません（月別集計に入りません）",IF(NOT(ISNUMBER(K82)),"受注金額がありません（粗利が出ません）",""))))))</f>
        <v/>
      </c>
    </row>
    <row r="83" ht="18" customHeight="1">
      <c r="A83" s="15" t="n"/>
      <c r="B83" s="28" t="n"/>
      <c r="C83" s="28" t="n"/>
      <c r="D83" s="28" t="n"/>
      <c r="E83" s="28" t="n"/>
      <c r="F83" s="29" t="n"/>
      <c r="G83" s="29" t="n"/>
      <c r="H83" s="15" t="n"/>
      <c r="I83" s="21" t="n"/>
      <c r="J83" s="15" t="n"/>
      <c r="K83" s="20" t="n"/>
      <c r="L83" s="20" t="n"/>
      <c r="M83" s="20" t="n"/>
      <c r="N83" s="20" t="n"/>
      <c r="O83" s="20" t="n"/>
      <c r="P83" s="30">
        <f>IF(AND(A83="",COUNT(L83:O83)=0),"",SUM(L83:O83))</f>
        <v/>
      </c>
      <c r="Q83" s="31">
        <f>IF(OR(P83="",NOT(ISNUMBER(K83))),"",K83-P83)</f>
        <v/>
      </c>
      <c r="R83" s="32">
        <f>IF(Q83="","",IF(K83&gt;0,Q83/K83,"－"))</f>
        <v/>
      </c>
      <c r="S83" s="33" t="n"/>
      <c r="T83" s="34">
        <f>IF(A83="",IF(COUNTA(B83:O83,S83)&gt;0,"案件番号がありません",""),IF(COUNTIF($A$6:$A$105,A83)&gt;1,"同じ案件番号があります",IF(H83="","状態を選んでください",IF(NOT(OR(H83="見積中",H83="進行中",H83="完了",H83="中止")),"状態は一覧から選びます",IF(AND(H83="完了",NOT(ISNUMBER(G83))),"完了日がありません（月別集計に入りません）",IF(NOT(ISNUMBER(K83)),"受注金額がありません（粗利が出ません）",""))))))</f>
        <v/>
      </c>
    </row>
    <row r="84" ht="18" customHeight="1">
      <c r="A84" s="15" t="n"/>
      <c r="B84" s="28" t="n"/>
      <c r="C84" s="28" t="n"/>
      <c r="D84" s="28" t="n"/>
      <c r="E84" s="28" t="n"/>
      <c r="F84" s="29" t="n"/>
      <c r="G84" s="29" t="n"/>
      <c r="H84" s="15" t="n"/>
      <c r="I84" s="21" t="n"/>
      <c r="J84" s="15" t="n"/>
      <c r="K84" s="20" t="n"/>
      <c r="L84" s="20" t="n"/>
      <c r="M84" s="20" t="n"/>
      <c r="N84" s="20" t="n"/>
      <c r="O84" s="20" t="n"/>
      <c r="P84" s="30">
        <f>IF(AND(A84="",COUNT(L84:O84)=0),"",SUM(L84:O84))</f>
        <v/>
      </c>
      <c r="Q84" s="31">
        <f>IF(OR(P84="",NOT(ISNUMBER(K84))),"",K84-P84)</f>
        <v/>
      </c>
      <c r="R84" s="32">
        <f>IF(Q84="","",IF(K84&gt;0,Q84/K84,"－"))</f>
        <v/>
      </c>
      <c r="S84" s="33" t="n"/>
      <c r="T84" s="34">
        <f>IF(A84="",IF(COUNTA(B84:O84,S84)&gt;0,"案件番号がありません",""),IF(COUNTIF($A$6:$A$105,A84)&gt;1,"同じ案件番号があります",IF(H84="","状態を選んでください",IF(NOT(OR(H84="見積中",H84="進行中",H84="完了",H84="中止")),"状態は一覧から選びます",IF(AND(H84="完了",NOT(ISNUMBER(G84))),"完了日がありません（月別集計に入りません）",IF(NOT(ISNUMBER(K84)),"受注金額がありません（粗利が出ません）",""))))))</f>
        <v/>
      </c>
    </row>
    <row r="85" ht="18" customHeight="1">
      <c r="A85" s="15" t="n"/>
      <c r="B85" s="28" t="n"/>
      <c r="C85" s="28" t="n"/>
      <c r="D85" s="28" t="n"/>
      <c r="E85" s="28" t="n"/>
      <c r="F85" s="29" t="n"/>
      <c r="G85" s="29" t="n"/>
      <c r="H85" s="15" t="n"/>
      <c r="I85" s="21" t="n"/>
      <c r="J85" s="15" t="n"/>
      <c r="K85" s="20" t="n"/>
      <c r="L85" s="20" t="n"/>
      <c r="M85" s="20" t="n"/>
      <c r="N85" s="20" t="n"/>
      <c r="O85" s="20" t="n"/>
      <c r="P85" s="30">
        <f>IF(AND(A85="",COUNT(L85:O85)=0),"",SUM(L85:O85))</f>
        <v/>
      </c>
      <c r="Q85" s="31">
        <f>IF(OR(P85="",NOT(ISNUMBER(K85))),"",K85-P85)</f>
        <v/>
      </c>
      <c r="R85" s="32">
        <f>IF(Q85="","",IF(K85&gt;0,Q85/K85,"－"))</f>
        <v/>
      </c>
      <c r="S85" s="33" t="n"/>
      <c r="T85" s="34">
        <f>IF(A85="",IF(COUNTA(B85:O85,S85)&gt;0,"案件番号がありません",""),IF(COUNTIF($A$6:$A$105,A85)&gt;1,"同じ案件番号があります",IF(H85="","状態を選んでください",IF(NOT(OR(H85="見積中",H85="進行中",H85="完了",H85="中止")),"状態は一覧から選びます",IF(AND(H85="完了",NOT(ISNUMBER(G85))),"完了日がありません（月別集計に入りません）",IF(NOT(ISNUMBER(K85)),"受注金額がありません（粗利が出ません）",""))))))</f>
        <v/>
      </c>
    </row>
    <row r="86" ht="18" customHeight="1">
      <c r="A86" s="15" t="n"/>
      <c r="B86" s="28" t="n"/>
      <c r="C86" s="28" t="n"/>
      <c r="D86" s="28" t="n"/>
      <c r="E86" s="28" t="n"/>
      <c r="F86" s="29" t="n"/>
      <c r="G86" s="29" t="n"/>
      <c r="H86" s="15" t="n"/>
      <c r="I86" s="21" t="n"/>
      <c r="J86" s="15" t="n"/>
      <c r="K86" s="20" t="n"/>
      <c r="L86" s="20" t="n"/>
      <c r="M86" s="20" t="n"/>
      <c r="N86" s="20" t="n"/>
      <c r="O86" s="20" t="n"/>
      <c r="P86" s="30">
        <f>IF(AND(A86="",COUNT(L86:O86)=0),"",SUM(L86:O86))</f>
        <v/>
      </c>
      <c r="Q86" s="31">
        <f>IF(OR(P86="",NOT(ISNUMBER(K86))),"",K86-P86)</f>
        <v/>
      </c>
      <c r="R86" s="32">
        <f>IF(Q86="","",IF(K86&gt;0,Q86/K86,"－"))</f>
        <v/>
      </c>
      <c r="S86" s="33" t="n"/>
      <c r="T86" s="34">
        <f>IF(A86="",IF(COUNTA(B86:O86,S86)&gt;0,"案件番号がありません",""),IF(COUNTIF($A$6:$A$105,A86)&gt;1,"同じ案件番号があります",IF(H86="","状態を選んでください",IF(NOT(OR(H86="見積中",H86="進行中",H86="完了",H86="中止")),"状態は一覧から選びます",IF(AND(H86="完了",NOT(ISNUMBER(G86))),"完了日がありません（月別集計に入りません）",IF(NOT(ISNUMBER(K86)),"受注金額がありません（粗利が出ません）",""))))))</f>
        <v/>
      </c>
    </row>
    <row r="87" ht="18" customHeight="1">
      <c r="A87" s="15" t="n"/>
      <c r="B87" s="28" t="n"/>
      <c r="C87" s="28" t="n"/>
      <c r="D87" s="28" t="n"/>
      <c r="E87" s="28" t="n"/>
      <c r="F87" s="29" t="n"/>
      <c r="G87" s="29" t="n"/>
      <c r="H87" s="15" t="n"/>
      <c r="I87" s="21" t="n"/>
      <c r="J87" s="15" t="n"/>
      <c r="K87" s="20" t="n"/>
      <c r="L87" s="20" t="n"/>
      <c r="M87" s="20" t="n"/>
      <c r="N87" s="20" t="n"/>
      <c r="O87" s="20" t="n"/>
      <c r="P87" s="30">
        <f>IF(AND(A87="",COUNT(L87:O87)=0),"",SUM(L87:O87))</f>
        <v/>
      </c>
      <c r="Q87" s="31">
        <f>IF(OR(P87="",NOT(ISNUMBER(K87))),"",K87-P87)</f>
        <v/>
      </c>
      <c r="R87" s="32">
        <f>IF(Q87="","",IF(K87&gt;0,Q87/K87,"－"))</f>
        <v/>
      </c>
      <c r="S87" s="33" t="n"/>
      <c r="T87" s="34">
        <f>IF(A87="",IF(COUNTA(B87:O87,S87)&gt;0,"案件番号がありません",""),IF(COUNTIF($A$6:$A$105,A87)&gt;1,"同じ案件番号があります",IF(H87="","状態を選んでください",IF(NOT(OR(H87="見積中",H87="進行中",H87="完了",H87="中止")),"状態は一覧から選びます",IF(AND(H87="完了",NOT(ISNUMBER(G87))),"完了日がありません（月別集計に入りません）",IF(NOT(ISNUMBER(K87)),"受注金額がありません（粗利が出ません）",""))))))</f>
        <v/>
      </c>
    </row>
    <row r="88" ht="18" customHeight="1">
      <c r="A88" s="15" t="n"/>
      <c r="B88" s="28" t="n"/>
      <c r="C88" s="28" t="n"/>
      <c r="D88" s="28" t="n"/>
      <c r="E88" s="28" t="n"/>
      <c r="F88" s="29" t="n"/>
      <c r="G88" s="29" t="n"/>
      <c r="H88" s="15" t="n"/>
      <c r="I88" s="21" t="n"/>
      <c r="J88" s="15" t="n"/>
      <c r="K88" s="20" t="n"/>
      <c r="L88" s="20" t="n"/>
      <c r="M88" s="20" t="n"/>
      <c r="N88" s="20" t="n"/>
      <c r="O88" s="20" t="n"/>
      <c r="P88" s="30">
        <f>IF(AND(A88="",COUNT(L88:O88)=0),"",SUM(L88:O88))</f>
        <v/>
      </c>
      <c r="Q88" s="31">
        <f>IF(OR(P88="",NOT(ISNUMBER(K88))),"",K88-P88)</f>
        <v/>
      </c>
      <c r="R88" s="32">
        <f>IF(Q88="","",IF(K88&gt;0,Q88/K88,"－"))</f>
        <v/>
      </c>
      <c r="S88" s="33" t="n"/>
      <c r="T88" s="34">
        <f>IF(A88="",IF(COUNTA(B88:O88,S88)&gt;0,"案件番号がありません",""),IF(COUNTIF($A$6:$A$105,A88)&gt;1,"同じ案件番号があります",IF(H88="","状態を選んでください",IF(NOT(OR(H88="見積中",H88="進行中",H88="完了",H88="中止")),"状態は一覧から選びます",IF(AND(H88="完了",NOT(ISNUMBER(G88))),"完了日がありません（月別集計に入りません）",IF(NOT(ISNUMBER(K88)),"受注金額がありません（粗利が出ません）",""))))))</f>
        <v/>
      </c>
    </row>
    <row r="89" ht="18" customHeight="1">
      <c r="A89" s="15" t="n"/>
      <c r="B89" s="28" t="n"/>
      <c r="C89" s="28" t="n"/>
      <c r="D89" s="28" t="n"/>
      <c r="E89" s="28" t="n"/>
      <c r="F89" s="29" t="n"/>
      <c r="G89" s="29" t="n"/>
      <c r="H89" s="15" t="n"/>
      <c r="I89" s="21" t="n"/>
      <c r="J89" s="15" t="n"/>
      <c r="K89" s="20" t="n"/>
      <c r="L89" s="20" t="n"/>
      <c r="M89" s="20" t="n"/>
      <c r="N89" s="20" t="n"/>
      <c r="O89" s="20" t="n"/>
      <c r="P89" s="30">
        <f>IF(AND(A89="",COUNT(L89:O89)=0),"",SUM(L89:O89))</f>
        <v/>
      </c>
      <c r="Q89" s="31">
        <f>IF(OR(P89="",NOT(ISNUMBER(K89))),"",K89-P89)</f>
        <v/>
      </c>
      <c r="R89" s="32">
        <f>IF(Q89="","",IF(K89&gt;0,Q89/K89,"－"))</f>
        <v/>
      </c>
      <c r="S89" s="33" t="n"/>
      <c r="T89" s="34">
        <f>IF(A89="",IF(COUNTA(B89:O89,S89)&gt;0,"案件番号がありません",""),IF(COUNTIF($A$6:$A$105,A89)&gt;1,"同じ案件番号があります",IF(H89="","状態を選んでください",IF(NOT(OR(H89="見積中",H89="進行中",H89="完了",H89="中止")),"状態は一覧から選びます",IF(AND(H89="完了",NOT(ISNUMBER(G89))),"完了日がありません（月別集計に入りません）",IF(NOT(ISNUMBER(K89)),"受注金額がありません（粗利が出ません）",""))))))</f>
        <v/>
      </c>
    </row>
    <row r="90" ht="18" customHeight="1">
      <c r="A90" s="15" t="n"/>
      <c r="B90" s="28" t="n"/>
      <c r="C90" s="28" t="n"/>
      <c r="D90" s="28" t="n"/>
      <c r="E90" s="28" t="n"/>
      <c r="F90" s="29" t="n"/>
      <c r="G90" s="29" t="n"/>
      <c r="H90" s="15" t="n"/>
      <c r="I90" s="21" t="n"/>
      <c r="J90" s="15" t="n"/>
      <c r="K90" s="20" t="n"/>
      <c r="L90" s="20" t="n"/>
      <c r="M90" s="20" t="n"/>
      <c r="N90" s="20" t="n"/>
      <c r="O90" s="20" t="n"/>
      <c r="P90" s="30">
        <f>IF(AND(A90="",COUNT(L90:O90)=0),"",SUM(L90:O90))</f>
        <v/>
      </c>
      <c r="Q90" s="31">
        <f>IF(OR(P90="",NOT(ISNUMBER(K90))),"",K90-P90)</f>
        <v/>
      </c>
      <c r="R90" s="32">
        <f>IF(Q90="","",IF(K90&gt;0,Q90/K90,"－"))</f>
        <v/>
      </c>
      <c r="S90" s="33" t="n"/>
      <c r="T90" s="34">
        <f>IF(A90="",IF(COUNTA(B90:O90,S90)&gt;0,"案件番号がありません",""),IF(COUNTIF($A$6:$A$105,A90)&gt;1,"同じ案件番号があります",IF(H90="","状態を選んでください",IF(NOT(OR(H90="見積中",H90="進行中",H90="完了",H90="中止")),"状態は一覧から選びます",IF(AND(H90="完了",NOT(ISNUMBER(G90))),"完了日がありません（月別集計に入りません）",IF(NOT(ISNUMBER(K90)),"受注金額がありません（粗利が出ません）",""))))))</f>
        <v/>
      </c>
    </row>
    <row r="91" ht="18" customHeight="1">
      <c r="A91" s="15" t="n"/>
      <c r="B91" s="28" t="n"/>
      <c r="C91" s="28" t="n"/>
      <c r="D91" s="28" t="n"/>
      <c r="E91" s="28" t="n"/>
      <c r="F91" s="29" t="n"/>
      <c r="G91" s="29" t="n"/>
      <c r="H91" s="15" t="n"/>
      <c r="I91" s="21" t="n"/>
      <c r="J91" s="15" t="n"/>
      <c r="K91" s="20" t="n"/>
      <c r="L91" s="20" t="n"/>
      <c r="M91" s="20" t="n"/>
      <c r="N91" s="20" t="n"/>
      <c r="O91" s="20" t="n"/>
      <c r="P91" s="30">
        <f>IF(AND(A91="",COUNT(L91:O91)=0),"",SUM(L91:O91))</f>
        <v/>
      </c>
      <c r="Q91" s="31">
        <f>IF(OR(P91="",NOT(ISNUMBER(K91))),"",K91-P91)</f>
        <v/>
      </c>
      <c r="R91" s="32">
        <f>IF(Q91="","",IF(K91&gt;0,Q91/K91,"－"))</f>
        <v/>
      </c>
      <c r="S91" s="33" t="n"/>
      <c r="T91" s="34">
        <f>IF(A91="",IF(COUNTA(B91:O91,S91)&gt;0,"案件番号がありません",""),IF(COUNTIF($A$6:$A$105,A91)&gt;1,"同じ案件番号があります",IF(H91="","状態を選んでください",IF(NOT(OR(H91="見積中",H91="進行中",H91="完了",H91="中止")),"状態は一覧から選びます",IF(AND(H91="完了",NOT(ISNUMBER(G91))),"完了日がありません（月別集計に入りません）",IF(NOT(ISNUMBER(K91)),"受注金額がありません（粗利が出ません）",""))))))</f>
        <v/>
      </c>
    </row>
    <row r="92" ht="18" customHeight="1">
      <c r="A92" s="15" t="n"/>
      <c r="B92" s="28" t="n"/>
      <c r="C92" s="28" t="n"/>
      <c r="D92" s="28" t="n"/>
      <c r="E92" s="28" t="n"/>
      <c r="F92" s="29" t="n"/>
      <c r="G92" s="29" t="n"/>
      <c r="H92" s="15" t="n"/>
      <c r="I92" s="21" t="n"/>
      <c r="J92" s="15" t="n"/>
      <c r="K92" s="20" t="n"/>
      <c r="L92" s="20" t="n"/>
      <c r="M92" s="20" t="n"/>
      <c r="N92" s="20" t="n"/>
      <c r="O92" s="20" t="n"/>
      <c r="P92" s="30">
        <f>IF(AND(A92="",COUNT(L92:O92)=0),"",SUM(L92:O92))</f>
        <v/>
      </c>
      <c r="Q92" s="31">
        <f>IF(OR(P92="",NOT(ISNUMBER(K92))),"",K92-P92)</f>
        <v/>
      </c>
      <c r="R92" s="32">
        <f>IF(Q92="","",IF(K92&gt;0,Q92/K92,"－"))</f>
        <v/>
      </c>
      <c r="S92" s="33" t="n"/>
      <c r="T92" s="34">
        <f>IF(A92="",IF(COUNTA(B92:O92,S92)&gt;0,"案件番号がありません",""),IF(COUNTIF($A$6:$A$105,A92)&gt;1,"同じ案件番号があります",IF(H92="","状態を選んでください",IF(NOT(OR(H92="見積中",H92="進行中",H92="完了",H92="中止")),"状態は一覧から選びます",IF(AND(H92="完了",NOT(ISNUMBER(G92))),"完了日がありません（月別集計に入りません）",IF(NOT(ISNUMBER(K92)),"受注金額がありません（粗利が出ません）",""))))))</f>
        <v/>
      </c>
    </row>
    <row r="93" ht="18" customHeight="1">
      <c r="A93" s="15" t="n"/>
      <c r="B93" s="28" t="n"/>
      <c r="C93" s="28" t="n"/>
      <c r="D93" s="28" t="n"/>
      <c r="E93" s="28" t="n"/>
      <c r="F93" s="29" t="n"/>
      <c r="G93" s="29" t="n"/>
      <c r="H93" s="15" t="n"/>
      <c r="I93" s="21" t="n"/>
      <c r="J93" s="15" t="n"/>
      <c r="K93" s="20" t="n"/>
      <c r="L93" s="20" t="n"/>
      <c r="M93" s="20" t="n"/>
      <c r="N93" s="20" t="n"/>
      <c r="O93" s="20" t="n"/>
      <c r="P93" s="30">
        <f>IF(AND(A93="",COUNT(L93:O93)=0),"",SUM(L93:O93))</f>
        <v/>
      </c>
      <c r="Q93" s="31">
        <f>IF(OR(P93="",NOT(ISNUMBER(K93))),"",K93-P93)</f>
        <v/>
      </c>
      <c r="R93" s="32">
        <f>IF(Q93="","",IF(K93&gt;0,Q93/K93,"－"))</f>
        <v/>
      </c>
      <c r="S93" s="33" t="n"/>
      <c r="T93" s="34">
        <f>IF(A93="",IF(COUNTA(B93:O93,S93)&gt;0,"案件番号がありません",""),IF(COUNTIF($A$6:$A$105,A93)&gt;1,"同じ案件番号があります",IF(H93="","状態を選んでください",IF(NOT(OR(H93="見積中",H93="進行中",H93="完了",H93="中止")),"状態は一覧から選びます",IF(AND(H93="完了",NOT(ISNUMBER(G93))),"完了日がありません（月別集計に入りません）",IF(NOT(ISNUMBER(K93)),"受注金額がありません（粗利が出ません）",""))))))</f>
        <v/>
      </c>
    </row>
    <row r="94" ht="18" customHeight="1">
      <c r="A94" s="15" t="n"/>
      <c r="B94" s="28" t="n"/>
      <c r="C94" s="28" t="n"/>
      <c r="D94" s="28" t="n"/>
      <c r="E94" s="28" t="n"/>
      <c r="F94" s="29" t="n"/>
      <c r="G94" s="29" t="n"/>
      <c r="H94" s="15" t="n"/>
      <c r="I94" s="21" t="n"/>
      <c r="J94" s="15" t="n"/>
      <c r="K94" s="20" t="n"/>
      <c r="L94" s="20" t="n"/>
      <c r="M94" s="20" t="n"/>
      <c r="N94" s="20" t="n"/>
      <c r="O94" s="20" t="n"/>
      <c r="P94" s="30">
        <f>IF(AND(A94="",COUNT(L94:O94)=0),"",SUM(L94:O94))</f>
        <v/>
      </c>
      <c r="Q94" s="31">
        <f>IF(OR(P94="",NOT(ISNUMBER(K94))),"",K94-P94)</f>
        <v/>
      </c>
      <c r="R94" s="32">
        <f>IF(Q94="","",IF(K94&gt;0,Q94/K94,"－"))</f>
        <v/>
      </c>
      <c r="S94" s="33" t="n"/>
      <c r="T94" s="34">
        <f>IF(A94="",IF(COUNTA(B94:O94,S94)&gt;0,"案件番号がありません",""),IF(COUNTIF($A$6:$A$105,A94)&gt;1,"同じ案件番号があります",IF(H94="","状態を選んでください",IF(NOT(OR(H94="見積中",H94="進行中",H94="完了",H94="中止")),"状態は一覧から選びます",IF(AND(H94="完了",NOT(ISNUMBER(G94))),"完了日がありません（月別集計に入りません）",IF(NOT(ISNUMBER(K94)),"受注金額がありません（粗利が出ません）",""))))))</f>
        <v/>
      </c>
    </row>
    <row r="95" ht="18" customHeight="1">
      <c r="A95" s="15" t="n"/>
      <c r="B95" s="28" t="n"/>
      <c r="C95" s="28" t="n"/>
      <c r="D95" s="28" t="n"/>
      <c r="E95" s="28" t="n"/>
      <c r="F95" s="29" t="n"/>
      <c r="G95" s="29" t="n"/>
      <c r="H95" s="15" t="n"/>
      <c r="I95" s="21" t="n"/>
      <c r="J95" s="15" t="n"/>
      <c r="K95" s="20" t="n"/>
      <c r="L95" s="20" t="n"/>
      <c r="M95" s="20" t="n"/>
      <c r="N95" s="20" t="n"/>
      <c r="O95" s="20" t="n"/>
      <c r="P95" s="30">
        <f>IF(AND(A95="",COUNT(L95:O95)=0),"",SUM(L95:O95))</f>
        <v/>
      </c>
      <c r="Q95" s="31">
        <f>IF(OR(P95="",NOT(ISNUMBER(K95))),"",K95-P95)</f>
        <v/>
      </c>
      <c r="R95" s="32">
        <f>IF(Q95="","",IF(K95&gt;0,Q95/K95,"－"))</f>
        <v/>
      </c>
      <c r="S95" s="33" t="n"/>
      <c r="T95" s="34">
        <f>IF(A95="",IF(COUNTA(B95:O95,S95)&gt;0,"案件番号がありません",""),IF(COUNTIF($A$6:$A$105,A95)&gt;1,"同じ案件番号があります",IF(H95="","状態を選んでください",IF(NOT(OR(H95="見積中",H95="進行中",H95="完了",H95="中止")),"状態は一覧から選びます",IF(AND(H95="完了",NOT(ISNUMBER(G95))),"完了日がありません（月別集計に入りません）",IF(NOT(ISNUMBER(K95)),"受注金額がありません（粗利が出ません）",""))))))</f>
        <v/>
      </c>
    </row>
    <row r="96" ht="18" customHeight="1">
      <c r="A96" s="15" t="n"/>
      <c r="B96" s="28" t="n"/>
      <c r="C96" s="28" t="n"/>
      <c r="D96" s="28" t="n"/>
      <c r="E96" s="28" t="n"/>
      <c r="F96" s="29" t="n"/>
      <c r="G96" s="29" t="n"/>
      <c r="H96" s="15" t="n"/>
      <c r="I96" s="21" t="n"/>
      <c r="J96" s="15" t="n"/>
      <c r="K96" s="20" t="n"/>
      <c r="L96" s="20" t="n"/>
      <c r="M96" s="20" t="n"/>
      <c r="N96" s="20" t="n"/>
      <c r="O96" s="20" t="n"/>
      <c r="P96" s="30">
        <f>IF(AND(A96="",COUNT(L96:O96)=0),"",SUM(L96:O96))</f>
        <v/>
      </c>
      <c r="Q96" s="31">
        <f>IF(OR(P96="",NOT(ISNUMBER(K96))),"",K96-P96)</f>
        <v/>
      </c>
      <c r="R96" s="32">
        <f>IF(Q96="","",IF(K96&gt;0,Q96/K96,"－"))</f>
        <v/>
      </c>
      <c r="S96" s="33" t="n"/>
      <c r="T96" s="34">
        <f>IF(A96="",IF(COUNTA(B96:O96,S96)&gt;0,"案件番号がありません",""),IF(COUNTIF($A$6:$A$105,A96)&gt;1,"同じ案件番号があります",IF(H96="","状態を選んでください",IF(NOT(OR(H96="見積中",H96="進行中",H96="完了",H96="中止")),"状態は一覧から選びます",IF(AND(H96="完了",NOT(ISNUMBER(G96))),"完了日がありません（月別集計に入りません）",IF(NOT(ISNUMBER(K96)),"受注金額がありません（粗利が出ません）",""))))))</f>
        <v/>
      </c>
    </row>
    <row r="97" ht="18" customHeight="1">
      <c r="A97" s="15" t="n"/>
      <c r="B97" s="28" t="n"/>
      <c r="C97" s="28" t="n"/>
      <c r="D97" s="28" t="n"/>
      <c r="E97" s="28" t="n"/>
      <c r="F97" s="29" t="n"/>
      <c r="G97" s="29" t="n"/>
      <c r="H97" s="15" t="n"/>
      <c r="I97" s="21" t="n"/>
      <c r="J97" s="15" t="n"/>
      <c r="K97" s="20" t="n"/>
      <c r="L97" s="20" t="n"/>
      <c r="M97" s="20" t="n"/>
      <c r="N97" s="20" t="n"/>
      <c r="O97" s="20" t="n"/>
      <c r="P97" s="30">
        <f>IF(AND(A97="",COUNT(L97:O97)=0),"",SUM(L97:O97))</f>
        <v/>
      </c>
      <c r="Q97" s="31">
        <f>IF(OR(P97="",NOT(ISNUMBER(K97))),"",K97-P97)</f>
        <v/>
      </c>
      <c r="R97" s="32">
        <f>IF(Q97="","",IF(K97&gt;0,Q97/K97,"－"))</f>
        <v/>
      </c>
      <c r="S97" s="33" t="n"/>
      <c r="T97" s="34">
        <f>IF(A97="",IF(COUNTA(B97:O97,S97)&gt;0,"案件番号がありません",""),IF(COUNTIF($A$6:$A$105,A97)&gt;1,"同じ案件番号があります",IF(H97="","状態を選んでください",IF(NOT(OR(H97="見積中",H97="進行中",H97="完了",H97="中止")),"状態は一覧から選びます",IF(AND(H97="完了",NOT(ISNUMBER(G97))),"完了日がありません（月別集計に入りません）",IF(NOT(ISNUMBER(K97)),"受注金額がありません（粗利が出ません）",""))))))</f>
        <v/>
      </c>
    </row>
    <row r="98" ht="18" customHeight="1">
      <c r="A98" s="15" t="n"/>
      <c r="B98" s="28" t="n"/>
      <c r="C98" s="28" t="n"/>
      <c r="D98" s="28" t="n"/>
      <c r="E98" s="28" t="n"/>
      <c r="F98" s="29" t="n"/>
      <c r="G98" s="29" t="n"/>
      <c r="H98" s="15" t="n"/>
      <c r="I98" s="21" t="n"/>
      <c r="J98" s="15" t="n"/>
      <c r="K98" s="20" t="n"/>
      <c r="L98" s="20" t="n"/>
      <c r="M98" s="20" t="n"/>
      <c r="N98" s="20" t="n"/>
      <c r="O98" s="20" t="n"/>
      <c r="P98" s="30">
        <f>IF(AND(A98="",COUNT(L98:O98)=0),"",SUM(L98:O98))</f>
        <v/>
      </c>
      <c r="Q98" s="31">
        <f>IF(OR(P98="",NOT(ISNUMBER(K98))),"",K98-P98)</f>
        <v/>
      </c>
      <c r="R98" s="32">
        <f>IF(Q98="","",IF(K98&gt;0,Q98/K98,"－"))</f>
        <v/>
      </c>
      <c r="S98" s="33" t="n"/>
      <c r="T98" s="34">
        <f>IF(A98="",IF(COUNTA(B98:O98,S98)&gt;0,"案件番号がありません",""),IF(COUNTIF($A$6:$A$105,A98)&gt;1,"同じ案件番号があります",IF(H98="","状態を選んでください",IF(NOT(OR(H98="見積中",H98="進行中",H98="完了",H98="中止")),"状態は一覧から選びます",IF(AND(H98="完了",NOT(ISNUMBER(G98))),"完了日がありません（月別集計に入りません）",IF(NOT(ISNUMBER(K98)),"受注金額がありません（粗利が出ません）",""))))))</f>
        <v/>
      </c>
    </row>
    <row r="99" ht="18" customHeight="1">
      <c r="A99" s="15" t="n"/>
      <c r="B99" s="28" t="n"/>
      <c r="C99" s="28" t="n"/>
      <c r="D99" s="28" t="n"/>
      <c r="E99" s="28" t="n"/>
      <c r="F99" s="29" t="n"/>
      <c r="G99" s="29" t="n"/>
      <c r="H99" s="15" t="n"/>
      <c r="I99" s="21" t="n"/>
      <c r="J99" s="15" t="n"/>
      <c r="K99" s="20" t="n"/>
      <c r="L99" s="20" t="n"/>
      <c r="M99" s="20" t="n"/>
      <c r="N99" s="20" t="n"/>
      <c r="O99" s="20" t="n"/>
      <c r="P99" s="30">
        <f>IF(AND(A99="",COUNT(L99:O99)=0),"",SUM(L99:O99))</f>
        <v/>
      </c>
      <c r="Q99" s="31">
        <f>IF(OR(P99="",NOT(ISNUMBER(K99))),"",K99-P99)</f>
        <v/>
      </c>
      <c r="R99" s="32">
        <f>IF(Q99="","",IF(K99&gt;0,Q99/K99,"－"))</f>
        <v/>
      </c>
      <c r="S99" s="33" t="n"/>
      <c r="T99" s="34">
        <f>IF(A99="",IF(COUNTA(B99:O99,S99)&gt;0,"案件番号がありません",""),IF(COUNTIF($A$6:$A$105,A99)&gt;1,"同じ案件番号があります",IF(H99="","状態を選んでください",IF(NOT(OR(H99="見積中",H99="進行中",H99="完了",H99="中止")),"状態は一覧から選びます",IF(AND(H99="完了",NOT(ISNUMBER(G99))),"完了日がありません（月別集計に入りません）",IF(NOT(ISNUMBER(K99)),"受注金額がありません（粗利が出ません）",""))))))</f>
        <v/>
      </c>
    </row>
    <row r="100" ht="18" customHeight="1">
      <c r="A100" s="15" t="n"/>
      <c r="B100" s="28" t="n"/>
      <c r="C100" s="28" t="n"/>
      <c r="D100" s="28" t="n"/>
      <c r="E100" s="28" t="n"/>
      <c r="F100" s="29" t="n"/>
      <c r="G100" s="29" t="n"/>
      <c r="H100" s="15" t="n"/>
      <c r="I100" s="21" t="n"/>
      <c r="J100" s="15" t="n"/>
      <c r="K100" s="20" t="n"/>
      <c r="L100" s="20" t="n"/>
      <c r="M100" s="20" t="n"/>
      <c r="N100" s="20" t="n"/>
      <c r="O100" s="20" t="n"/>
      <c r="P100" s="30">
        <f>IF(AND(A100="",COUNT(L100:O100)=0),"",SUM(L100:O100))</f>
        <v/>
      </c>
      <c r="Q100" s="31">
        <f>IF(OR(P100="",NOT(ISNUMBER(K100))),"",K100-P100)</f>
        <v/>
      </c>
      <c r="R100" s="32">
        <f>IF(Q100="","",IF(K100&gt;0,Q100/K100,"－"))</f>
        <v/>
      </c>
      <c r="S100" s="33" t="n"/>
      <c r="T100" s="34">
        <f>IF(A100="",IF(COUNTA(B100:O100,S100)&gt;0,"案件番号がありません",""),IF(COUNTIF($A$6:$A$105,A100)&gt;1,"同じ案件番号があります",IF(H100="","状態を選んでください",IF(NOT(OR(H100="見積中",H100="進行中",H100="完了",H100="中止")),"状態は一覧から選びます",IF(AND(H100="完了",NOT(ISNUMBER(G100))),"完了日がありません（月別集計に入りません）",IF(NOT(ISNUMBER(K100)),"受注金額がありません（粗利が出ません）",""))))))</f>
        <v/>
      </c>
    </row>
    <row r="101" ht="18" customHeight="1">
      <c r="A101" s="15" t="n"/>
      <c r="B101" s="28" t="n"/>
      <c r="C101" s="28" t="n"/>
      <c r="D101" s="28" t="n"/>
      <c r="E101" s="28" t="n"/>
      <c r="F101" s="29" t="n"/>
      <c r="G101" s="29" t="n"/>
      <c r="H101" s="15" t="n"/>
      <c r="I101" s="21" t="n"/>
      <c r="J101" s="15" t="n"/>
      <c r="K101" s="20" t="n"/>
      <c r="L101" s="20" t="n"/>
      <c r="M101" s="20" t="n"/>
      <c r="N101" s="20" t="n"/>
      <c r="O101" s="20" t="n"/>
      <c r="P101" s="30">
        <f>IF(AND(A101="",COUNT(L101:O101)=0),"",SUM(L101:O101))</f>
        <v/>
      </c>
      <c r="Q101" s="31">
        <f>IF(OR(P101="",NOT(ISNUMBER(K101))),"",K101-P101)</f>
        <v/>
      </c>
      <c r="R101" s="32">
        <f>IF(Q101="","",IF(K101&gt;0,Q101/K101,"－"))</f>
        <v/>
      </c>
      <c r="S101" s="33" t="n"/>
      <c r="T101" s="34">
        <f>IF(A101="",IF(COUNTA(B101:O101,S101)&gt;0,"案件番号がありません",""),IF(COUNTIF($A$6:$A$105,A101)&gt;1,"同じ案件番号があります",IF(H101="","状態を選んでください",IF(NOT(OR(H101="見積中",H101="進行中",H101="完了",H101="中止")),"状態は一覧から選びます",IF(AND(H101="完了",NOT(ISNUMBER(G101))),"完了日がありません（月別集計に入りません）",IF(NOT(ISNUMBER(K101)),"受注金額がありません（粗利が出ません）",""))))))</f>
        <v/>
      </c>
    </row>
    <row r="102" ht="18" customHeight="1">
      <c r="A102" s="15" t="n"/>
      <c r="B102" s="28" t="n"/>
      <c r="C102" s="28" t="n"/>
      <c r="D102" s="28" t="n"/>
      <c r="E102" s="28" t="n"/>
      <c r="F102" s="29" t="n"/>
      <c r="G102" s="29" t="n"/>
      <c r="H102" s="15" t="n"/>
      <c r="I102" s="21" t="n"/>
      <c r="J102" s="15" t="n"/>
      <c r="K102" s="20" t="n"/>
      <c r="L102" s="20" t="n"/>
      <c r="M102" s="20" t="n"/>
      <c r="N102" s="20" t="n"/>
      <c r="O102" s="20" t="n"/>
      <c r="P102" s="30">
        <f>IF(AND(A102="",COUNT(L102:O102)=0),"",SUM(L102:O102))</f>
        <v/>
      </c>
      <c r="Q102" s="31">
        <f>IF(OR(P102="",NOT(ISNUMBER(K102))),"",K102-P102)</f>
        <v/>
      </c>
      <c r="R102" s="32">
        <f>IF(Q102="","",IF(K102&gt;0,Q102/K102,"－"))</f>
        <v/>
      </c>
      <c r="S102" s="33" t="n"/>
      <c r="T102" s="34">
        <f>IF(A102="",IF(COUNTA(B102:O102,S102)&gt;0,"案件番号がありません",""),IF(COUNTIF($A$6:$A$105,A102)&gt;1,"同じ案件番号があります",IF(H102="","状態を選んでください",IF(NOT(OR(H102="見積中",H102="進行中",H102="完了",H102="中止")),"状態は一覧から選びます",IF(AND(H102="完了",NOT(ISNUMBER(G102))),"完了日がありません（月別集計に入りません）",IF(NOT(ISNUMBER(K102)),"受注金額がありません（粗利が出ません）",""))))))</f>
        <v/>
      </c>
    </row>
    <row r="103" ht="18" customHeight="1">
      <c r="A103" s="15" t="n"/>
      <c r="B103" s="28" t="n"/>
      <c r="C103" s="28" t="n"/>
      <c r="D103" s="28" t="n"/>
      <c r="E103" s="28" t="n"/>
      <c r="F103" s="29" t="n"/>
      <c r="G103" s="29" t="n"/>
      <c r="H103" s="15" t="n"/>
      <c r="I103" s="21" t="n"/>
      <c r="J103" s="15" t="n"/>
      <c r="K103" s="20" t="n"/>
      <c r="L103" s="20" t="n"/>
      <c r="M103" s="20" t="n"/>
      <c r="N103" s="20" t="n"/>
      <c r="O103" s="20" t="n"/>
      <c r="P103" s="30">
        <f>IF(AND(A103="",COUNT(L103:O103)=0),"",SUM(L103:O103))</f>
        <v/>
      </c>
      <c r="Q103" s="31">
        <f>IF(OR(P103="",NOT(ISNUMBER(K103))),"",K103-P103)</f>
        <v/>
      </c>
      <c r="R103" s="32">
        <f>IF(Q103="","",IF(K103&gt;0,Q103/K103,"－"))</f>
        <v/>
      </c>
      <c r="S103" s="33" t="n"/>
      <c r="T103" s="34">
        <f>IF(A103="",IF(COUNTA(B103:O103,S103)&gt;0,"案件番号がありません",""),IF(COUNTIF($A$6:$A$105,A103)&gt;1,"同じ案件番号があります",IF(H103="","状態を選んでください",IF(NOT(OR(H103="見積中",H103="進行中",H103="完了",H103="中止")),"状態は一覧から選びます",IF(AND(H103="完了",NOT(ISNUMBER(G103))),"完了日がありません（月別集計に入りません）",IF(NOT(ISNUMBER(K103)),"受注金額がありません（粗利が出ません）",""))))))</f>
        <v/>
      </c>
    </row>
    <row r="104" ht="18" customHeight="1">
      <c r="A104" s="15" t="n"/>
      <c r="B104" s="28" t="n"/>
      <c r="C104" s="28" t="n"/>
      <c r="D104" s="28" t="n"/>
      <c r="E104" s="28" t="n"/>
      <c r="F104" s="29" t="n"/>
      <c r="G104" s="29" t="n"/>
      <c r="H104" s="15" t="n"/>
      <c r="I104" s="21" t="n"/>
      <c r="J104" s="15" t="n"/>
      <c r="K104" s="20" t="n"/>
      <c r="L104" s="20" t="n"/>
      <c r="M104" s="20" t="n"/>
      <c r="N104" s="20" t="n"/>
      <c r="O104" s="20" t="n"/>
      <c r="P104" s="30">
        <f>IF(AND(A104="",COUNT(L104:O104)=0),"",SUM(L104:O104))</f>
        <v/>
      </c>
      <c r="Q104" s="31">
        <f>IF(OR(P104="",NOT(ISNUMBER(K104))),"",K104-P104)</f>
        <v/>
      </c>
      <c r="R104" s="32">
        <f>IF(Q104="","",IF(K104&gt;0,Q104/K104,"－"))</f>
        <v/>
      </c>
      <c r="S104" s="33" t="n"/>
      <c r="T104" s="34">
        <f>IF(A104="",IF(COUNTA(B104:O104,S104)&gt;0,"案件番号がありません",""),IF(COUNTIF($A$6:$A$105,A104)&gt;1,"同じ案件番号があります",IF(H104="","状態を選んでください",IF(NOT(OR(H104="見積中",H104="進行中",H104="完了",H104="中止")),"状態は一覧から選びます",IF(AND(H104="完了",NOT(ISNUMBER(G104))),"完了日がありません（月別集計に入りません）",IF(NOT(ISNUMBER(K104)),"受注金額がありません（粗利が出ません）",""))))))</f>
        <v/>
      </c>
    </row>
    <row r="105" ht="18" customHeight="1">
      <c r="A105" s="15" t="n"/>
      <c r="B105" s="28" t="n"/>
      <c r="C105" s="28" t="n"/>
      <c r="D105" s="28" t="n"/>
      <c r="E105" s="28" t="n"/>
      <c r="F105" s="29" t="n"/>
      <c r="G105" s="29" t="n"/>
      <c r="H105" s="15" t="n"/>
      <c r="I105" s="21" t="n"/>
      <c r="J105" s="15" t="n"/>
      <c r="K105" s="20" t="n"/>
      <c r="L105" s="20" t="n"/>
      <c r="M105" s="20" t="n"/>
      <c r="N105" s="20" t="n"/>
      <c r="O105" s="20" t="n"/>
      <c r="P105" s="30">
        <f>IF(AND(A105="",COUNT(L105:O105)=0),"",SUM(L105:O105))</f>
        <v/>
      </c>
      <c r="Q105" s="31">
        <f>IF(OR(P105="",NOT(ISNUMBER(K105))),"",K105-P105)</f>
        <v/>
      </c>
      <c r="R105" s="32">
        <f>IF(Q105="","",IF(K105&gt;0,Q105/K105,"－"))</f>
        <v/>
      </c>
      <c r="S105" s="33" t="n"/>
      <c r="T105" s="34">
        <f>IF(A105="",IF(COUNTA(B105:O105,S105)&gt;0,"案件番号がありません",""),IF(COUNTIF($A$6:$A$105,A105)&gt;1,"同じ案件番号があります",IF(H105="","状態を選んでください",IF(NOT(OR(H105="見積中",H105="進行中",H105="完了",H105="中止")),"状態は一覧から選びます",IF(AND(H105="完了",NOT(ISNUMBER(G105))),"完了日がありません（月別集計に入りません）",IF(NOT(ISNUMBER(K105)),"受注金額がありません（粗利が出ません）",""))))))</f>
        <v/>
      </c>
    </row>
  </sheetData>
  <mergeCells count="7">
    <mergeCell ref="A1:T1"/>
    <mergeCell ref="A4:K4"/>
    <mergeCell ref="A3:T3"/>
    <mergeCell ref="L4:O4"/>
    <mergeCell ref="A2:T2"/>
    <mergeCell ref="P4:R4"/>
    <mergeCell ref="S4:T4"/>
  </mergeCells>
  <conditionalFormatting sqref="A6:A105">
    <cfRule type="expression" priority="1" dxfId="0">
      <formula>AND(A6&lt;&gt;"",COUNTIF($A$6:$A$105,A6)&gt;1)</formula>
    </cfRule>
  </conditionalFormatting>
  <conditionalFormatting sqref="T6:T105">
    <cfRule type="expression" priority="2" dxfId="1">
      <formula>LEN(T6)&gt;0</formula>
    </cfRule>
  </conditionalFormatting>
  <dataValidations count="5">
    <dataValidation sqref="A6:A105" showDropDown="0" showInputMessage="0" showErrorMessage="1" allowBlank="1" errorTitle="案件番号を確かめてください" error="同じ案件番号がすでにあります。1件に1つの番号を付けます。" type="custom">
      <formula1>COUNTIF($A$6:$A$105,A6)=1</formula1>
    </dataValidation>
    <dataValidation sqref="F6:G105" showDropDown="0" showInputMessage="0" showErrorMessage="1" allowBlank="1" errorTitle="日付を入れてください" error="日付を 2026/10/14 のように入れてください。" type="date" operator="between">
      <formula1>36526</formula1>
      <formula2>73051</formula2>
    </dataValidation>
    <dataValidation sqref="H6:H105" showDropDown="0" showInputMessage="0" showErrorMessage="1" allowBlank="1" errorTitle="一覧から選んでください" error="見積中・進行中・完了・中止から選んでください。" type="list">
      <formula1>"見積中,進行中,完了,中止"</formula1>
    </dataValidation>
    <dataValidation sqref="I6:I105" showDropDown="0" showInputMessage="0" showErrorMessage="1" allowBlank="1" errorTitle="数字を入れてください" error="0以上の数字を入れてください。" type="decimal" operator="between">
      <formula1>0</formula1>
      <formula2>999999999999</formula2>
    </dataValidation>
    <dataValidation sqref="K6:O105" showDropDown="0" showInputMessage="0" showErrorMessage="1" allowBlank="1" errorTitle="数字を入れてください" error="0以上の金額を入れてください。" type="decimal" operator="between">
      <formula1>0</formula1>
      <formula2>999999999999</formula2>
    </dataValidation>
  </dataValidations>
  <printOptions horizontalCentered="1"/>
  <pageMargins left="0.4" right="0.4" top="0.45" bottom="0.45" header="0.2" footer="0.2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tabColor rgb="00C9A227"/>
    <outlinePr summaryBelow="1" summaryRight="1"/>
    <pageSetUpPr fitToPage="1"/>
  </sheetPr>
  <dimension ref="A1:O1504"/>
  <sheetViews>
    <sheetView showGridLines="0" tabSelected="0"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1" customWidth="1" min="1" max="1"/>
    <col width="10" customWidth="1" min="2" max="2"/>
    <col width="24" customWidth="1" min="3" max="3"/>
    <col width="8" customWidth="1" min="4" max="4"/>
    <col width="28" customWidth="1" min="5" max="5"/>
    <col width="11" customWidth="1" min="6" max="6"/>
    <col width="6" customWidth="1" min="7" max="7"/>
    <col width="10" customWidth="1" min="8" max="8"/>
    <col width="12" customWidth="1" min="9" max="9"/>
    <col width="10" customWidth="1" min="10" max="10"/>
    <col width="11" customWidth="1" min="11" max="11"/>
    <col width="20" customWidth="1" min="12" max="12"/>
    <col width="30" customWidth="1" min="13" max="13"/>
    <col width="8" customWidth="1" min="14" max="14"/>
    <col width="10" customWidth="1" min="15" max="15"/>
  </cols>
  <sheetData>
    <row r="1" ht="26" customHeight="1">
      <c r="A1" s="81" t="inlineStr">
        <is>
          <t>原価明細（1件1行。材料・労務・外注・経費）</t>
        </is>
      </c>
      <c r="B1" s="82" t="n"/>
      <c r="C1" s="82" t="n"/>
      <c r="D1" s="82" t="n"/>
      <c r="E1" s="82" t="n"/>
      <c r="F1" s="82" t="n"/>
      <c r="G1" s="82" t="n"/>
      <c r="H1" s="82" t="n"/>
      <c r="I1" s="82" t="n"/>
      <c r="J1" s="82" t="n"/>
      <c r="K1" s="82" t="n"/>
      <c r="L1" s="82" t="n"/>
      <c r="M1" s="82" t="n"/>
      <c r="N1" s="82" t="n"/>
      <c r="O1" s="82" t="n"/>
    </row>
    <row r="2">
      <c r="A2" s="92">
        <f>IF(TRIM('設定'!$B$3)="","",TRIM('設定'!$B$3)&amp;"　")&amp;"金額は"&amp;'設定'!$B$5&amp;"で入れる"</f>
        <v/>
      </c>
      <c r="B2" s="82" t="n"/>
      <c r="C2" s="82" t="n"/>
      <c r="D2" s="82" t="n"/>
      <c r="E2" s="82" t="n"/>
      <c r="F2" s="82" t="n"/>
      <c r="G2" s="82" t="n"/>
      <c r="H2" s="82" t="n"/>
      <c r="I2" s="82" t="n"/>
      <c r="J2" s="82" t="n"/>
      <c r="K2" s="82" t="n"/>
      <c r="L2" s="82" t="n"/>
      <c r="M2" s="82" t="n"/>
      <c r="N2" s="82" t="n"/>
      <c r="O2" s="82" t="n"/>
    </row>
    <row r="3" ht="30" customHeight="1">
      <c r="A3" s="85" t="inlineStr">
        <is>
          <t>金額は「数量×単価」か「金額（直接入力）」のどちらかで入れます（両方あれば数量×単価）。労務費は内容に作業者名（設定シートと同じ書き方）、数量に時間か日数。単価を空けると設定シートの単価を使います。確認の列に文字が出た行は直します。</t>
        </is>
      </c>
      <c r="B3" s="82" t="n"/>
      <c r="C3" s="82" t="n"/>
      <c r="D3" s="82" t="n"/>
      <c r="E3" s="82" t="n"/>
      <c r="F3" s="82" t="n"/>
      <c r="G3" s="82" t="n"/>
      <c r="H3" s="82" t="n"/>
      <c r="I3" s="82" t="n"/>
      <c r="J3" s="82" t="n"/>
      <c r="K3" s="82" t="n"/>
      <c r="L3" s="82" t="n"/>
      <c r="M3" s="82" t="n"/>
      <c r="N3" s="82" t="n"/>
      <c r="O3" s="82" t="n"/>
    </row>
    <row r="4" ht="40" customHeight="1">
      <c r="A4" s="18" t="inlineStr">
        <is>
          <t>日付</t>
        </is>
      </c>
      <c r="B4" s="18" t="inlineStr">
        <is>
          <t>案件番号</t>
        </is>
      </c>
      <c r="C4" s="26" t="inlineStr">
        <is>
          <t>案件名（自動）</t>
        </is>
      </c>
      <c r="D4" s="18" t="inlineStr">
        <is>
          <t>費目</t>
        </is>
      </c>
      <c r="E4" s="18" t="inlineStr">
        <is>
          <t>内容（品名・作業者・外注先）</t>
        </is>
      </c>
      <c r="F4" s="18" t="inlineStr">
        <is>
          <t>数量
（労務費は
時間・日数）</t>
        </is>
      </c>
      <c r="G4" s="18" t="inlineStr">
        <is>
          <t>単位</t>
        </is>
      </c>
      <c r="H4" s="18" t="inlineStr">
        <is>
          <t>単価</t>
        </is>
      </c>
      <c r="I4" s="18" t="inlineStr">
        <is>
          <t>金額
（直接入力）</t>
        </is>
      </c>
      <c r="J4" s="26" t="inlineStr">
        <is>
          <t>使う単価
（自動）</t>
        </is>
      </c>
      <c r="K4" s="26" t="inlineStr">
        <is>
          <t>金額（自動）</t>
        </is>
      </c>
      <c r="L4" s="18" t="inlineStr">
        <is>
          <t>支払先・メモ</t>
        </is>
      </c>
      <c r="M4" s="26" t="inlineStr">
        <is>
          <t>確認</t>
        </is>
      </c>
      <c r="N4" s="90" t="inlineStr">
        <is>
          <t>計算用（カード）</t>
        </is>
      </c>
      <c r="O4" s="90" t="inlineStr">
        <is>
          <t>計算用（集計外）</t>
        </is>
      </c>
    </row>
    <row r="5" ht="16" customHeight="1">
      <c r="A5" s="35" t="n"/>
      <c r="B5" s="36" t="n"/>
      <c r="C5" s="37">
        <f>IF(B5="","",IFERROR(INDEX('案件'!$B$6:$B$105,MATCH(B5,'案件'!$A$6:$A$105,0))&amp;"","（案件シートに無い番号）"))</f>
        <v/>
      </c>
      <c r="D5" s="36" t="n"/>
      <c r="E5" s="38" t="n"/>
      <c r="F5" s="39" t="n"/>
      <c r="G5" s="36" t="n"/>
      <c r="H5" s="40" t="n"/>
      <c r="I5" s="40" t="n"/>
      <c r="J5" s="41">
        <f>IF(ISNUMBER(H5),H5,IF(AND(D5="労務費",TRIM(E5)&lt;&gt;""),IFERROR(INDEX('設定'!$G$12:$G$31,MATCH(TRIM(E5),'設定'!$J$12:$J$31,0)),""),""))</f>
        <v/>
      </c>
      <c r="K5" s="30">
        <f>IF(AND(ISNUMBER(F5),ISNUMBER(J5)),ROUND(F5*J5,0),IF(ISNUMBER(I5),I5,""))</f>
        <v/>
      </c>
      <c r="L5" s="33" t="n"/>
      <c r="M5" s="34">
        <f>IF(COUNTA(A5:B5,D5:I5,L5)=0,"",IF(B5="","案件番号がありません",IF(ISNA(MATCH(B5,'案件'!$A$6:$A$105,0)),"案件シートに無い番号です",IF(NOT(OR(D5="材料費",D5="労務費",D5="外注費",D5="経費")),"費目を4つから選んでください",IF(K5="",IF(AND(ISNUMBER(F5),NOT(ISNUMBER(J5))),IF(D5="労務費","単価がありません（設定の作業者名と同じ書き方に）","単価がありません"),IF(AND(ISNUMBER(J5),NOT(ISNUMBER(F5))),"数量がありません","金額がありません")),IF(NOT(ISNUMBER(A5)),"日付がありません（月別集計に入りません）",IF(AND(ISNUMBER(F5),ISNUMBER(J5),ISNUMBER(I5)),"数量×単価を使いました（金額の欄は使っていません）","")))))))</f>
        <v/>
      </c>
      <c r="N5" s="91">
        <f>IF(AND(B5&lt;&gt;"",B5='案件カード'!$C$3),COUNTIF($B$5:B5,'案件カード'!$C$3),"")</f>
        <v/>
      </c>
      <c r="O5" s="91">
        <f>IF(ISNUMBER(K5),IF(B5="",K5,IF(AND(ISNUMBER(MATCH(B5,'案件'!$A$6:$A$105,0)),OR(D5="材料費",D5="労務費",D5="外注費",D5="経費")),0,K5)),0)</f>
        <v/>
      </c>
    </row>
    <row r="6" ht="16" customHeight="1">
      <c r="A6" s="35" t="n"/>
      <c r="B6" s="36" t="n"/>
      <c r="C6" s="37">
        <f>IF(B6="","",IFERROR(INDEX('案件'!$B$6:$B$105,MATCH(B6,'案件'!$A$6:$A$105,0))&amp;"","（案件シートに無い番号）"))</f>
        <v/>
      </c>
      <c r="D6" s="36" t="n"/>
      <c r="E6" s="38" t="n"/>
      <c r="F6" s="39" t="n"/>
      <c r="G6" s="36" t="n"/>
      <c r="H6" s="40" t="n"/>
      <c r="I6" s="40" t="n"/>
      <c r="J6" s="41">
        <f>IF(ISNUMBER(H6),H6,IF(AND(D6="労務費",TRIM(E6)&lt;&gt;""),IFERROR(INDEX('設定'!$G$12:$G$31,MATCH(TRIM(E6),'設定'!$J$12:$J$31,0)),""),""))</f>
        <v/>
      </c>
      <c r="K6" s="30">
        <f>IF(AND(ISNUMBER(F6),ISNUMBER(J6)),ROUND(F6*J6,0),IF(ISNUMBER(I6),I6,""))</f>
        <v/>
      </c>
      <c r="L6" s="33" t="n"/>
      <c r="M6" s="34">
        <f>IF(COUNTA(A6:B6,D6:I6,L6)=0,"",IF(B6="","案件番号がありません",IF(ISNA(MATCH(B6,'案件'!$A$6:$A$105,0)),"案件シートに無い番号です",IF(NOT(OR(D6="材料費",D6="労務費",D6="外注費",D6="経費")),"費目を4つから選んでください",IF(K6="",IF(AND(ISNUMBER(F6),NOT(ISNUMBER(J6))),IF(D6="労務費","単価がありません（設定の作業者名と同じ書き方に）","単価がありません"),IF(AND(ISNUMBER(J6),NOT(ISNUMBER(F6))),"数量がありません","金額がありません")),IF(NOT(ISNUMBER(A6)),"日付がありません（月別集計に入りません）",IF(AND(ISNUMBER(F6),ISNUMBER(J6),ISNUMBER(I6)),"数量×単価を使いました（金額の欄は使っていません）","")))))))</f>
        <v/>
      </c>
      <c r="N6" s="91">
        <f>IF(AND(B6&lt;&gt;"",B6='案件カード'!$C$3),COUNTIF($B$5:B6,'案件カード'!$C$3),"")</f>
        <v/>
      </c>
      <c r="O6" s="91">
        <f>IF(ISNUMBER(K6),IF(B6="",K6,IF(AND(ISNUMBER(MATCH(B6,'案件'!$A$6:$A$105,0)),OR(D6="材料費",D6="労務費",D6="外注費",D6="経費")),0,K6)),0)</f>
        <v/>
      </c>
    </row>
    <row r="7" ht="16" customHeight="1">
      <c r="A7" s="35" t="n"/>
      <c r="B7" s="36" t="n"/>
      <c r="C7" s="37">
        <f>IF(B7="","",IFERROR(INDEX('案件'!$B$6:$B$105,MATCH(B7,'案件'!$A$6:$A$105,0))&amp;"","（案件シートに無い番号）"))</f>
        <v/>
      </c>
      <c r="D7" s="36" t="n"/>
      <c r="E7" s="38" t="n"/>
      <c r="F7" s="39" t="n"/>
      <c r="G7" s="36" t="n"/>
      <c r="H7" s="40" t="n"/>
      <c r="I7" s="40" t="n"/>
      <c r="J7" s="41">
        <f>IF(ISNUMBER(H7),H7,IF(AND(D7="労務費",TRIM(E7)&lt;&gt;""),IFERROR(INDEX('設定'!$G$12:$G$31,MATCH(TRIM(E7),'設定'!$J$12:$J$31,0)),""),""))</f>
        <v/>
      </c>
      <c r="K7" s="30">
        <f>IF(AND(ISNUMBER(F7),ISNUMBER(J7)),ROUND(F7*J7,0),IF(ISNUMBER(I7),I7,""))</f>
        <v/>
      </c>
      <c r="L7" s="33" t="n"/>
      <c r="M7" s="34">
        <f>IF(COUNTA(A7:B7,D7:I7,L7)=0,"",IF(B7="","案件番号がありません",IF(ISNA(MATCH(B7,'案件'!$A$6:$A$105,0)),"案件シートに無い番号です",IF(NOT(OR(D7="材料費",D7="労務費",D7="外注費",D7="経費")),"費目を4つから選んでください",IF(K7="",IF(AND(ISNUMBER(F7),NOT(ISNUMBER(J7))),IF(D7="労務費","単価がありません（設定の作業者名と同じ書き方に）","単価がありません"),IF(AND(ISNUMBER(J7),NOT(ISNUMBER(F7))),"数量がありません","金額がありません")),IF(NOT(ISNUMBER(A7)),"日付がありません（月別集計に入りません）",IF(AND(ISNUMBER(F7),ISNUMBER(J7),ISNUMBER(I7)),"数量×単価を使いました（金額の欄は使っていません）","")))))))</f>
        <v/>
      </c>
      <c r="N7" s="91">
        <f>IF(AND(B7&lt;&gt;"",B7='案件カード'!$C$3),COUNTIF($B$5:B7,'案件カード'!$C$3),"")</f>
        <v/>
      </c>
      <c r="O7" s="91">
        <f>IF(ISNUMBER(K7),IF(B7="",K7,IF(AND(ISNUMBER(MATCH(B7,'案件'!$A$6:$A$105,0)),OR(D7="材料費",D7="労務費",D7="外注費",D7="経費")),0,K7)),0)</f>
        <v/>
      </c>
    </row>
    <row r="8" ht="16" customHeight="1">
      <c r="A8" s="35" t="n"/>
      <c r="B8" s="36" t="n"/>
      <c r="C8" s="37">
        <f>IF(B8="","",IFERROR(INDEX('案件'!$B$6:$B$105,MATCH(B8,'案件'!$A$6:$A$105,0))&amp;"","（案件シートに無い番号）"))</f>
        <v/>
      </c>
      <c r="D8" s="36" t="n"/>
      <c r="E8" s="38" t="n"/>
      <c r="F8" s="39" t="n"/>
      <c r="G8" s="36" t="n"/>
      <c r="H8" s="40" t="n"/>
      <c r="I8" s="40" t="n"/>
      <c r="J8" s="41">
        <f>IF(ISNUMBER(H8),H8,IF(AND(D8="労務費",TRIM(E8)&lt;&gt;""),IFERROR(INDEX('設定'!$G$12:$G$31,MATCH(TRIM(E8),'設定'!$J$12:$J$31,0)),""),""))</f>
        <v/>
      </c>
      <c r="K8" s="30">
        <f>IF(AND(ISNUMBER(F8),ISNUMBER(J8)),ROUND(F8*J8,0),IF(ISNUMBER(I8),I8,""))</f>
        <v/>
      </c>
      <c r="L8" s="33" t="n"/>
      <c r="M8" s="34">
        <f>IF(COUNTA(A8:B8,D8:I8,L8)=0,"",IF(B8="","案件番号がありません",IF(ISNA(MATCH(B8,'案件'!$A$6:$A$105,0)),"案件シートに無い番号です",IF(NOT(OR(D8="材料費",D8="労務費",D8="外注費",D8="経費")),"費目を4つから選んでください",IF(K8="",IF(AND(ISNUMBER(F8),NOT(ISNUMBER(J8))),IF(D8="労務費","単価がありません（設定の作業者名と同じ書き方に）","単価がありません"),IF(AND(ISNUMBER(J8),NOT(ISNUMBER(F8))),"数量がありません","金額がありません")),IF(NOT(ISNUMBER(A8)),"日付がありません（月別集計に入りません）",IF(AND(ISNUMBER(F8),ISNUMBER(J8),ISNUMBER(I8)),"数量×単価を使いました（金額の欄は使っていません）","")))))))</f>
        <v/>
      </c>
      <c r="N8" s="91">
        <f>IF(AND(B8&lt;&gt;"",B8='案件カード'!$C$3),COUNTIF($B$5:B8,'案件カード'!$C$3),"")</f>
        <v/>
      </c>
      <c r="O8" s="91">
        <f>IF(ISNUMBER(K8),IF(B8="",K8,IF(AND(ISNUMBER(MATCH(B8,'案件'!$A$6:$A$105,0)),OR(D8="材料費",D8="労務費",D8="外注費",D8="経費")),0,K8)),0)</f>
        <v/>
      </c>
    </row>
    <row r="9" ht="16" customHeight="1">
      <c r="A9" s="35" t="n"/>
      <c r="B9" s="36" t="n"/>
      <c r="C9" s="37">
        <f>IF(B9="","",IFERROR(INDEX('案件'!$B$6:$B$105,MATCH(B9,'案件'!$A$6:$A$105,0))&amp;"","（案件シートに無い番号）"))</f>
        <v/>
      </c>
      <c r="D9" s="36" t="n"/>
      <c r="E9" s="38" t="n"/>
      <c r="F9" s="39" t="n"/>
      <c r="G9" s="36" t="n"/>
      <c r="H9" s="40" t="n"/>
      <c r="I9" s="40" t="n"/>
      <c r="J9" s="41">
        <f>IF(ISNUMBER(H9),H9,IF(AND(D9="労務費",TRIM(E9)&lt;&gt;""),IFERROR(INDEX('設定'!$G$12:$G$31,MATCH(TRIM(E9),'設定'!$J$12:$J$31,0)),""),""))</f>
        <v/>
      </c>
      <c r="K9" s="30">
        <f>IF(AND(ISNUMBER(F9),ISNUMBER(J9)),ROUND(F9*J9,0),IF(ISNUMBER(I9),I9,""))</f>
        <v/>
      </c>
      <c r="L9" s="33" t="n"/>
      <c r="M9" s="34">
        <f>IF(COUNTA(A9:B9,D9:I9,L9)=0,"",IF(B9="","案件番号がありません",IF(ISNA(MATCH(B9,'案件'!$A$6:$A$105,0)),"案件シートに無い番号です",IF(NOT(OR(D9="材料費",D9="労務費",D9="外注費",D9="経費")),"費目を4つから選んでください",IF(K9="",IF(AND(ISNUMBER(F9),NOT(ISNUMBER(J9))),IF(D9="労務費","単価がありません（設定の作業者名と同じ書き方に）","単価がありません"),IF(AND(ISNUMBER(J9),NOT(ISNUMBER(F9))),"数量がありません","金額がありません")),IF(NOT(ISNUMBER(A9)),"日付がありません（月別集計に入りません）",IF(AND(ISNUMBER(F9),ISNUMBER(J9),ISNUMBER(I9)),"数量×単価を使いました（金額の欄は使っていません）","")))))))</f>
        <v/>
      </c>
      <c r="N9" s="91">
        <f>IF(AND(B9&lt;&gt;"",B9='案件カード'!$C$3),COUNTIF($B$5:B9,'案件カード'!$C$3),"")</f>
        <v/>
      </c>
      <c r="O9" s="91">
        <f>IF(ISNUMBER(K9),IF(B9="",K9,IF(AND(ISNUMBER(MATCH(B9,'案件'!$A$6:$A$105,0)),OR(D9="材料費",D9="労務費",D9="外注費",D9="経費")),0,K9)),0)</f>
        <v/>
      </c>
    </row>
    <row r="10" ht="16" customHeight="1">
      <c r="A10" s="35" t="n"/>
      <c r="B10" s="36" t="n"/>
      <c r="C10" s="37">
        <f>IF(B10="","",IFERROR(INDEX('案件'!$B$6:$B$105,MATCH(B10,'案件'!$A$6:$A$105,0))&amp;"","（案件シートに無い番号）"))</f>
        <v/>
      </c>
      <c r="D10" s="36" t="n"/>
      <c r="E10" s="38" t="n"/>
      <c r="F10" s="39" t="n"/>
      <c r="G10" s="36" t="n"/>
      <c r="H10" s="40" t="n"/>
      <c r="I10" s="40" t="n"/>
      <c r="J10" s="41">
        <f>IF(ISNUMBER(H10),H10,IF(AND(D10="労務費",TRIM(E10)&lt;&gt;""),IFERROR(INDEX('設定'!$G$12:$G$31,MATCH(TRIM(E10),'設定'!$J$12:$J$31,0)),""),""))</f>
        <v/>
      </c>
      <c r="K10" s="30">
        <f>IF(AND(ISNUMBER(F10),ISNUMBER(J10)),ROUND(F10*J10,0),IF(ISNUMBER(I10),I10,""))</f>
        <v/>
      </c>
      <c r="L10" s="33" t="n"/>
      <c r="M10" s="34">
        <f>IF(COUNTA(A10:B10,D10:I10,L10)=0,"",IF(B10="","案件番号がありません",IF(ISNA(MATCH(B10,'案件'!$A$6:$A$105,0)),"案件シートに無い番号です",IF(NOT(OR(D10="材料費",D10="労務費",D10="外注費",D10="経費")),"費目を4つから選んでください",IF(K10="",IF(AND(ISNUMBER(F10),NOT(ISNUMBER(J10))),IF(D10="労務費","単価がありません（設定の作業者名と同じ書き方に）","単価がありません"),IF(AND(ISNUMBER(J10),NOT(ISNUMBER(F10))),"数量がありません","金額がありません")),IF(NOT(ISNUMBER(A10)),"日付がありません（月別集計に入りません）",IF(AND(ISNUMBER(F10),ISNUMBER(J10),ISNUMBER(I10)),"数量×単価を使いました（金額の欄は使っていません）","")))))))</f>
        <v/>
      </c>
      <c r="N10" s="91">
        <f>IF(AND(B10&lt;&gt;"",B10='案件カード'!$C$3),COUNTIF($B$5:B10,'案件カード'!$C$3),"")</f>
        <v/>
      </c>
      <c r="O10" s="91">
        <f>IF(ISNUMBER(K10),IF(B10="",K10,IF(AND(ISNUMBER(MATCH(B10,'案件'!$A$6:$A$105,0)),OR(D10="材料費",D10="労務費",D10="外注費",D10="経費")),0,K10)),0)</f>
        <v/>
      </c>
    </row>
    <row r="11" ht="16" customHeight="1">
      <c r="A11" s="35" t="n"/>
      <c r="B11" s="36" t="n"/>
      <c r="C11" s="37">
        <f>IF(B11="","",IFERROR(INDEX('案件'!$B$6:$B$105,MATCH(B11,'案件'!$A$6:$A$105,0))&amp;"","（案件シートに無い番号）"))</f>
        <v/>
      </c>
      <c r="D11" s="36" t="n"/>
      <c r="E11" s="38" t="n"/>
      <c r="F11" s="39" t="n"/>
      <c r="G11" s="36" t="n"/>
      <c r="H11" s="40" t="n"/>
      <c r="I11" s="40" t="n"/>
      <c r="J11" s="41">
        <f>IF(ISNUMBER(H11),H11,IF(AND(D11="労務費",TRIM(E11)&lt;&gt;""),IFERROR(INDEX('設定'!$G$12:$G$31,MATCH(TRIM(E11),'設定'!$J$12:$J$31,0)),""),""))</f>
        <v/>
      </c>
      <c r="K11" s="30">
        <f>IF(AND(ISNUMBER(F11),ISNUMBER(J11)),ROUND(F11*J11,0),IF(ISNUMBER(I11),I11,""))</f>
        <v/>
      </c>
      <c r="L11" s="33" t="n"/>
      <c r="M11" s="34">
        <f>IF(COUNTA(A11:B11,D11:I11,L11)=0,"",IF(B11="","案件番号がありません",IF(ISNA(MATCH(B11,'案件'!$A$6:$A$105,0)),"案件シートに無い番号です",IF(NOT(OR(D11="材料費",D11="労務費",D11="外注費",D11="経費")),"費目を4つから選んでください",IF(K11="",IF(AND(ISNUMBER(F11),NOT(ISNUMBER(J11))),IF(D11="労務費","単価がありません（設定の作業者名と同じ書き方に）","単価がありません"),IF(AND(ISNUMBER(J11),NOT(ISNUMBER(F11))),"数量がありません","金額がありません")),IF(NOT(ISNUMBER(A11)),"日付がありません（月別集計に入りません）",IF(AND(ISNUMBER(F11),ISNUMBER(J11),ISNUMBER(I11)),"数量×単価を使いました（金額の欄は使っていません）","")))))))</f>
        <v/>
      </c>
      <c r="N11" s="91">
        <f>IF(AND(B11&lt;&gt;"",B11='案件カード'!$C$3),COUNTIF($B$5:B11,'案件カード'!$C$3),"")</f>
        <v/>
      </c>
      <c r="O11" s="91">
        <f>IF(ISNUMBER(K11),IF(B11="",K11,IF(AND(ISNUMBER(MATCH(B11,'案件'!$A$6:$A$105,0)),OR(D11="材料費",D11="労務費",D11="外注費",D11="経費")),0,K11)),0)</f>
        <v/>
      </c>
    </row>
    <row r="12" ht="16" customHeight="1">
      <c r="A12" s="35" t="n"/>
      <c r="B12" s="36" t="n"/>
      <c r="C12" s="37">
        <f>IF(B12="","",IFERROR(INDEX('案件'!$B$6:$B$105,MATCH(B12,'案件'!$A$6:$A$105,0))&amp;"","（案件シートに無い番号）"))</f>
        <v/>
      </c>
      <c r="D12" s="36" t="n"/>
      <c r="E12" s="38" t="n"/>
      <c r="F12" s="39" t="n"/>
      <c r="G12" s="36" t="n"/>
      <c r="H12" s="40" t="n"/>
      <c r="I12" s="40" t="n"/>
      <c r="J12" s="41">
        <f>IF(ISNUMBER(H12),H12,IF(AND(D12="労務費",TRIM(E12)&lt;&gt;""),IFERROR(INDEX('設定'!$G$12:$G$31,MATCH(TRIM(E12),'設定'!$J$12:$J$31,0)),""),""))</f>
        <v/>
      </c>
      <c r="K12" s="30">
        <f>IF(AND(ISNUMBER(F12),ISNUMBER(J12)),ROUND(F12*J12,0),IF(ISNUMBER(I12),I12,""))</f>
        <v/>
      </c>
      <c r="L12" s="33" t="n"/>
      <c r="M12" s="34">
        <f>IF(COUNTA(A12:B12,D12:I12,L12)=0,"",IF(B12="","案件番号がありません",IF(ISNA(MATCH(B12,'案件'!$A$6:$A$105,0)),"案件シートに無い番号です",IF(NOT(OR(D12="材料費",D12="労務費",D12="外注費",D12="経費")),"費目を4つから選んでください",IF(K12="",IF(AND(ISNUMBER(F12),NOT(ISNUMBER(J12))),IF(D12="労務費","単価がありません（設定の作業者名と同じ書き方に）","単価がありません"),IF(AND(ISNUMBER(J12),NOT(ISNUMBER(F12))),"数量がありません","金額がありません")),IF(NOT(ISNUMBER(A12)),"日付がありません（月別集計に入りません）",IF(AND(ISNUMBER(F12),ISNUMBER(J12),ISNUMBER(I12)),"数量×単価を使いました（金額の欄は使っていません）","")))))))</f>
        <v/>
      </c>
      <c r="N12" s="91">
        <f>IF(AND(B12&lt;&gt;"",B12='案件カード'!$C$3),COUNTIF($B$5:B12,'案件カード'!$C$3),"")</f>
        <v/>
      </c>
      <c r="O12" s="91">
        <f>IF(ISNUMBER(K12),IF(B12="",K12,IF(AND(ISNUMBER(MATCH(B12,'案件'!$A$6:$A$105,0)),OR(D12="材料費",D12="労務費",D12="外注費",D12="経費")),0,K12)),0)</f>
        <v/>
      </c>
    </row>
    <row r="13" ht="16" customHeight="1">
      <c r="A13" s="35" t="n"/>
      <c r="B13" s="36" t="n"/>
      <c r="C13" s="37">
        <f>IF(B13="","",IFERROR(INDEX('案件'!$B$6:$B$105,MATCH(B13,'案件'!$A$6:$A$105,0))&amp;"","（案件シートに無い番号）"))</f>
        <v/>
      </c>
      <c r="D13" s="36" t="n"/>
      <c r="E13" s="38" t="n"/>
      <c r="F13" s="39" t="n"/>
      <c r="G13" s="36" t="n"/>
      <c r="H13" s="40" t="n"/>
      <c r="I13" s="40" t="n"/>
      <c r="J13" s="41">
        <f>IF(ISNUMBER(H13),H13,IF(AND(D13="労務費",TRIM(E13)&lt;&gt;""),IFERROR(INDEX('設定'!$G$12:$G$31,MATCH(TRIM(E13),'設定'!$J$12:$J$31,0)),""),""))</f>
        <v/>
      </c>
      <c r="K13" s="30">
        <f>IF(AND(ISNUMBER(F13),ISNUMBER(J13)),ROUND(F13*J13,0),IF(ISNUMBER(I13),I13,""))</f>
        <v/>
      </c>
      <c r="L13" s="33" t="n"/>
      <c r="M13" s="34">
        <f>IF(COUNTA(A13:B13,D13:I13,L13)=0,"",IF(B13="","案件番号がありません",IF(ISNA(MATCH(B13,'案件'!$A$6:$A$105,0)),"案件シートに無い番号です",IF(NOT(OR(D13="材料費",D13="労務費",D13="外注費",D13="経費")),"費目を4つから選んでください",IF(K13="",IF(AND(ISNUMBER(F13),NOT(ISNUMBER(J13))),IF(D13="労務費","単価がありません（設定の作業者名と同じ書き方に）","単価がありません"),IF(AND(ISNUMBER(J13),NOT(ISNUMBER(F13))),"数量がありません","金額がありません")),IF(NOT(ISNUMBER(A13)),"日付がありません（月別集計に入りません）",IF(AND(ISNUMBER(F13),ISNUMBER(J13),ISNUMBER(I13)),"数量×単価を使いました（金額の欄は使っていません）","")))))))</f>
        <v/>
      </c>
      <c r="N13" s="91">
        <f>IF(AND(B13&lt;&gt;"",B13='案件カード'!$C$3),COUNTIF($B$5:B13,'案件カード'!$C$3),"")</f>
        <v/>
      </c>
      <c r="O13" s="91">
        <f>IF(ISNUMBER(K13),IF(B13="",K13,IF(AND(ISNUMBER(MATCH(B13,'案件'!$A$6:$A$105,0)),OR(D13="材料費",D13="労務費",D13="外注費",D13="経費")),0,K13)),0)</f>
        <v/>
      </c>
    </row>
    <row r="14" ht="16" customHeight="1">
      <c r="A14" s="35" t="n"/>
      <c r="B14" s="36" t="n"/>
      <c r="C14" s="37">
        <f>IF(B14="","",IFERROR(INDEX('案件'!$B$6:$B$105,MATCH(B14,'案件'!$A$6:$A$105,0))&amp;"","（案件シートに無い番号）"))</f>
        <v/>
      </c>
      <c r="D14" s="36" t="n"/>
      <c r="E14" s="38" t="n"/>
      <c r="F14" s="39" t="n"/>
      <c r="G14" s="36" t="n"/>
      <c r="H14" s="40" t="n"/>
      <c r="I14" s="40" t="n"/>
      <c r="J14" s="41">
        <f>IF(ISNUMBER(H14),H14,IF(AND(D14="労務費",TRIM(E14)&lt;&gt;""),IFERROR(INDEX('設定'!$G$12:$G$31,MATCH(TRIM(E14),'設定'!$J$12:$J$31,0)),""),""))</f>
        <v/>
      </c>
      <c r="K14" s="30">
        <f>IF(AND(ISNUMBER(F14),ISNUMBER(J14)),ROUND(F14*J14,0),IF(ISNUMBER(I14),I14,""))</f>
        <v/>
      </c>
      <c r="L14" s="33" t="n"/>
      <c r="M14" s="34">
        <f>IF(COUNTA(A14:B14,D14:I14,L14)=0,"",IF(B14="","案件番号がありません",IF(ISNA(MATCH(B14,'案件'!$A$6:$A$105,0)),"案件シートに無い番号です",IF(NOT(OR(D14="材料費",D14="労務費",D14="外注費",D14="経費")),"費目を4つから選んでください",IF(K14="",IF(AND(ISNUMBER(F14),NOT(ISNUMBER(J14))),IF(D14="労務費","単価がありません（設定の作業者名と同じ書き方に）","単価がありません"),IF(AND(ISNUMBER(J14),NOT(ISNUMBER(F14))),"数量がありません","金額がありません")),IF(NOT(ISNUMBER(A14)),"日付がありません（月別集計に入りません）",IF(AND(ISNUMBER(F14),ISNUMBER(J14),ISNUMBER(I14)),"数量×単価を使いました（金額の欄は使っていません）","")))))))</f>
        <v/>
      </c>
      <c r="N14" s="91">
        <f>IF(AND(B14&lt;&gt;"",B14='案件カード'!$C$3),COUNTIF($B$5:B14,'案件カード'!$C$3),"")</f>
        <v/>
      </c>
      <c r="O14" s="91">
        <f>IF(ISNUMBER(K14),IF(B14="",K14,IF(AND(ISNUMBER(MATCH(B14,'案件'!$A$6:$A$105,0)),OR(D14="材料費",D14="労務費",D14="外注費",D14="経費")),0,K14)),0)</f>
        <v/>
      </c>
    </row>
    <row r="15" ht="16" customHeight="1">
      <c r="A15" s="35" t="n"/>
      <c r="B15" s="36" t="n"/>
      <c r="C15" s="37">
        <f>IF(B15="","",IFERROR(INDEX('案件'!$B$6:$B$105,MATCH(B15,'案件'!$A$6:$A$105,0))&amp;"","（案件シートに無い番号）"))</f>
        <v/>
      </c>
      <c r="D15" s="36" t="n"/>
      <c r="E15" s="38" t="n"/>
      <c r="F15" s="39" t="n"/>
      <c r="G15" s="36" t="n"/>
      <c r="H15" s="40" t="n"/>
      <c r="I15" s="40" t="n"/>
      <c r="J15" s="41">
        <f>IF(ISNUMBER(H15),H15,IF(AND(D15="労務費",TRIM(E15)&lt;&gt;""),IFERROR(INDEX('設定'!$G$12:$G$31,MATCH(TRIM(E15),'設定'!$J$12:$J$31,0)),""),""))</f>
        <v/>
      </c>
      <c r="K15" s="30">
        <f>IF(AND(ISNUMBER(F15),ISNUMBER(J15)),ROUND(F15*J15,0),IF(ISNUMBER(I15),I15,""))</f>
        <v/>
      </c>
      <c r="L15" s="33" t="n"/>
      <c r="M15" s="34">
        <f>IF(COUNTA(A15:B15,D15:I15,L15)=0,"",IF(B15="","案件番号がありません",IF(ISNA(MATCH(B15,'案件'!$A$6:$A$105,0)),"案件シートに無い番号です",IF(NOT(OR(D15="材料費",D15="労務費",D15="外注費",D15="経費")),"費目を4つから選んでください",IF(K15="",IF(AND(ISNUMBER(F15),NOT(ISNUMBER(J15))),IF(D15="労務費","単価がありません（設定の作業者名と同じ書き方に）","単価がありません"),IF(AND(ISNUMBER(J15),NOT(ISNUMBER(F15))),"数量がありません","金額がありません")),IF(NOT(ISNUMBER(A15)),"日付がありません（月別集計に入りません）",IF(AND(ISNUMBER(F15),ISNUMBER(J15),ISNUMBER(I15)),"数量×単価を使いました（金額の欄は使っていません）","")))))))</f>
        <v/>
      </c>
      <c r="N15" s="91">
        <f>IF(AND(B15&lt;&gt;"",B15='案件カード'!$C$3),COUNTIF($B$5:B15,'案件カード'!$C$3),"")</f>
        <v/>
      </c>
      <c r="O15" s="91">
        <f>IF(ISNUMBER(K15),IF(B15="",K15,IF(AND(ISNUMBER(MATCH(B15,'案件'!$A$6:$A$105,0)),OR(D15="材料費",D15="労務費",D15="外注費",D15="経費")),0,K15)),0)</f>
        <v/>
      </c>
    </row>
    <row r="16" ht="16" customHeight="1">
      <c r="A16" s="35" t="n"/>
      <c r="B16" s="36" t="n"/>
      <c r="C16" s="37">
        <f>IF(B16="","",IFERROR(INDEX('案件'!$B$6:$B$105,MATCH(B16,'案件'!$A$6:$A$105,0))&amp;"","（案件シートに無い番号）"))</f>
        <v/>
      </c>
      <c r="D16" s="36" t="n"/>
      <c r="E16" s="38" t="n"/>
      <c r="F16" s="39" t="n"/>
      <c r="G16" s="36" t="n"/>
      <c r="H16" s="40" t="n"/>
      <c r="I16" s="40" t="n"/>
      <c r="J16" s="41">
        <f>IF(ISNUMBER(H16),H16,IF(AND(D16="労務費",TRIM(E16)&lt;&gt;""),IFERROR(INDEX('設定'!$G$12:$G$31,MATCH(TRIM(E16),'設定'!$J$12:$J$31,0)),""),""))</f>
        <v/>
      </c>
      <c r="K16" s="30">
        <f>IF(AND(ISNUMBER(F16),ISNUMBER(J16)),ROUND(F16*J16,0),IF(ISNUMBER(I16),I16,""))</f>
        <v/>
      </c>
      <c r="L16" s="33" t="n"/>
      <c r="M16" s="34">
        <f>IF(COUNTA(A16:B16,D16:I16,L16)=0,"",IF(B16="","案件番号がありません",IF(ISNA(MATCH(B16,'案件'!$A$6:$A$105,0)),"案件シートに無い番号です",IF(NOT(OR(D16="材料費",D16="労務費",D16="外注費",D16="経費")),"費目を4つから選んでください",IF(K16="",IF(AND(ISNUMBER(F16),NOT(ISNUMBER(J16))),IF(D16="労務費","単価がありません（設定の作業者名と同じ書き方に）","単価がありません"),IF(AND(ISNUMBER(J16),NOT(ISNUMBER(F16))),"数量がありません","金額がありません")),IF(NOT(ISNUMBER(A16)),"日付がありません（月別集計に入りません）",IF(AND(ISNUMBER(F16),ISNUMBER(J16),ISNUMBER(I16)),"数量×単価を使いました（金額の欄は使っていません）","")))))))</f>
        <v/>
      </c>
      <c r="N16" s="91">
        <f>IF(AND(B16&lt;&gt;"",B16='案件カード'!$C$3),COUNTIF($B$5:B16,'案件カード'!$C$3),"")</f>
        <v/>
      </c>
      <c r="O16" s="91">
        <f>IF(ISNUMBER(K16),IF(B16="",K16,IF(AND(ISNUMBER(MATCH(B16,'案件'!$A$6:$A$105,0)),OR(D16="材料費",D16="労務費",D16="外注費",D16="経費")),0,K16)),0)</f>
        <v/>
      </c>
    </row>
    <row r="17" ht="16" customHeight="1">
      <c r="A17" s="35" t="n"/>
      <c r="B17" s="36" t="n"/>
      <c r="C17" s="37">
        <f>IF(B17="","",IFERROR(INDEX('案件'!$B$6:$B$105,MATCH(B17,'案件'!$A$6:$A$105,0))&amp;"","（案件シートに無い番号）"))</f>
        <v/>
      </c>
      <c r="D17" s="36" t="n"/>
      <c r="E17" s="38" t="n"/>
      <c r="F17" s="39" t="n"/>
      <c r="G17" s="36" t="n"/>
      <c r="H17" s="40" t="n"/>
      <c r="I17" s="40" t="n"/>
      <c r="J17" s="41">
        <f>IF(ISNUMBER(H17),H17,IF(AND(D17="労務費",TRIM(E17)&lt;&gt;""),IFERROR(INDEX('設定'!$G$12:$G$31,MATCH(TRIM(E17),'設定'!$J$12:$J$31,0)),""),""))</f>
        <v/>
      </c>
      <c r="K17" s="30">
        <f>IF(AND(ISNUMBER(F17),ISNUMBER(J17)),ROUND(F17*J17,0),IF(ISNUMBER(I17),I17,""))</f>
        <v/>
      </c>
      <c r="L17" s="33" t="n"/>
      <c r="M17" s="34">
        <f>IF(COUNTA(A17:B17,D17:I17,L17)=0,"",IF(B17="","案件番号がありません",IF(ISNA(MATCH(B17,'案件'!$A$6:$A$105,0)),"案件シートに無い番号です",IF(NOT(OR(D17="材料費",D17="労務費",D17="外注費",D17="経費")),"費目を4つから選んでください",IF(K17="",IF(AND(ISNUMBER(F17),NOT(ISNUMBER(J17))),IF(D17="労務費","単価がありません（設定の作業者名と同じ書き方に）","単価がありません"),IF(AND(ISNUMBER(J17),NOT(ISNUMBER(F17))),"数量がありません","金額がありません")),IF(NOT(ISNUMBER(A17)),"日付がありません（月別集計に入りません）",IF(AND(ISNUMBER(F17),ISNUMBER(J17),ISNUMBER(I17)),"数量×単価を使いました（金額の欄は使っていません）","")))))))</f>
        <v/>
      </c>
      <c r="N17" s="91">
        <f>IF(AND(B17&lt;&gt;"",B17='案件カード'!$C$3),COUNTIF($B$5:B17,'案件カード'!$C$3),"")</f>
        <v/>
      </c>
      <c r="O17" s="91">
        <f>IF(ISNUMBER(K17),IF(B17="",K17,IF(AND(ISNUMBER(MATCH(B17,'案件'!$A$6:$A$105,0)),OR(D17="材料費",D17="労務費",D17="外注費",D17="経費")),0,K17)),0)</f>
        <v/>
      </c>
    </row>
    <row r="18" ht="16" customHeight="1">
      <c r="A18" s="35" t="n"/>
      <c r="B18" s="36" t="n"/>
      <c r="C18" s="37">
        <f>IF(B18="","",IFERROR(INDEX('案件'!$B$6:$B$105,MATCH(B18,'案件'!$A$6:$A$105,0))&amp;"","（案件シートに無い番号）"))</f>
        <v/>
      </c>
      <c r="D18" s="36" t="n"/>
      <c r="E18" s="38" t="n"/>
      <c r="F18" s="39" t="n"/>
      <c r="G18" s="36" t="n"/>
      <c r="H18" s="40" t="n"/>
      <c r="I18" s="40" t="n"/>
      <c r="J18" s="41">
        <f>IF(ISNUMBER(H18),H18,IF(AND(D18="労務費",TRIM(E18)&lt;&gt;""),IFERROR(INDEX('設定'!$G$12:$G$31,MATCH(TRIM(E18),'設定'!$J$12:$J$31,0)),""),""))</f>
        <v/>
      </c>
      <c r="K18" s="30">
        <f>IF(AND(ISNUMBER(F18),ISNUMBER(J18)),ROUND(F18*J18,0),IF(ISNUMBER(I18),I18,""))</f>
        <v/>
      </c>
      <c r="L18" s="33" t="n"/>
      <c r="M18" s="34">
        <f>IF(COUNTA(A18:B18,D18:I18,L18)=0,"",IF(B18="","案件番号がありません",IF(ISNA(MATCH(B18,'案件'!$A$6:$A$105,0)),"案件シートに無い番号です",IF(NOT(OR(D18="材料費",D18="労務費",D18="外注費",D18="経費")),"費目を4つから選んでください",IF(K18="",IF(AND(ISNUMBER(F18),NOT(ISNUMBER(J18))),IF(D18="労務費","単価がありません（設定の作業者名と同じ書き方に）","単価がありません"),IF(AND(ISNUMBER(J18),NOT(ISNUMBER(F18))),"数量がありません","金額がありません")),IF(NOT(ISNUMBER(A18)),"日付がありません（月別集計に入りません）",IF(AND(ISNUMBER(F18),ISNUMBER(J18),ISNUMBER(I18)),"数量×単価を使いました（金額の欄は使っていません）","")))))))</f>
        <v/>
      </c>
      <c r="N18" s="91">
        <f>IF(AND(B18&lt;&gt;"",B18='案件カード'!$C$3),COUNTIF($B$5:B18,'案件カード'!$C$3),"")</f>
        <v/>
      </c>
      <c r="O18" s="91">
        <f>IF(ISNUMBER(K18),IF(B18="",K18,IF(AND(ISNUMBER(MATCH(B18,'案件'!$A$6:$A$105,0)),OR(D18="材料費",D18="労務費",D18="外注費",D18="経費")),0,K18)),0)</f>
        <v/>
      </c>
    </row>
    <row r="19" ht="16" customHeight="1">
      <c r="A19" s="35" t="n"/>
      <c r="B19" s="36" t="n"/>
      <c r="C19" s="37">
        <f>IF(B19="","",IFERROR(INDEX('案件'!$B$6:$B$105,MATCH(B19,'案件'!$A$6:$A$105,0))&amp;"","（案件シートに無い番号）"))</f>
        <v/>
      </c>
      <c r="D19" s="36" t="n"/>
      <c r="E19" s="38" t="n"/>
      <c r="F19" s="39" t="n"/>
      <c r="G19" s="36" t="n"/>
      <c r="H19" s="40" t="n"/>
      <c r="I19" s="40" t="n"/>
      <c r="J19" s="41">
        <f>IF(ISNUMBER(H19),H19,IF(AND(D19="労務費",TRIM(E19)&lt;&gt;""),IFERROR(INDEX('設定'!$G$12:$G$31,MATCH(TRIM(E19),'設定'!$J$12:$J$31,0)),""),""))</f>
        <v/>
      </c>
      <c r="K19" s="30">
        <f>IF(AND(ISNUMBER(F19),ISNUMBER(J19)),ROUND(F19*J19,0),IF(ISNUMBER(I19),I19,""))</f>
        <v/>
      </c>
      <c r="L19" s="33" t="n"/>
      <c r="M19" s="34">
        <f>IF(COUNTA(A19:B19,D19:I19,L19)=0,"",IF(B19="","案件番号がありません",IF(ISNA(MATCH(B19,'案件'!$A$6:$A$105,0)),"案件シートに無い番号です",IF(NOT(OR(D19="材料費",D19="労務費",D19="外注費",D19="経費")),"費目を4つから選んでください",IF(K19="",IF(AND(ISNUMBER(F19),NOT(ISNUMBER(J19))),IF(D19="労務費","単価がありません（設定の作業者名と同じ書き方に）","単価がありません"),IF(AND(ISNUMBER(J19),NOT(ISNUMBER(F19))),"数量がありません","金額がありません")),IF(NOT(ISNUMBER(A19)),"日付がありません（月別集計に入りません）",IF(AND(ISNUMBER(F19),ISNUMBER(J19),ISNUMBER(I19)),"数量×単価を使いました（金額の欄は使っていません）","")))))))</f>
        <v/>
      </c>
      <c r="N19" s="91">
        <f>IF(AND(B19&lt;&gt;"",B19='案件カード'!$C$3),COUNTIF($B$5:B19,'案件カード'!$C$3),"")</f>
        <v/>
      </c>
      <c r="O19" s="91">
        <f>IF(ISNUMBER(K19),IF(B19="",K19,IF(AND(ISNUMBER(MATCH(B19,'案件'!$A$6:$A$105,0)),OR(D19="材料費",D19="労務費",D19="外注費",D19="経費")),0,K19)),0)</f>
        <v/>
      </c>
    </row>
    <row r="20" ht="16" customHeight="1">
      <c r="A20" s="35" t="n"/>
      <c r="B20" s="36" t="n"/>
      <c r="C20" s="37">
        <f>IF(B20="","",IFERROR(INDEX('案件'!$B$6:$B$105,MATCH(B20,'案件'!$A$6:$A$105,0))&amp;"","（案件シートに無い番号）"))</f>
        <v/>
      </c>
      <c r="D20" s="36" t="n"/>
      <c r="E20" s="38" t="n"/>
      <c r="F20" s="39" t="n"/>
      <c r="G20" s="36" t="n"/>
      <c r="H20" s="40" t="n"/>
      <c r="I20" s="40" t="n"/>
      <c r="J20" s="41">
        <f>IF(ISNUMBER(H20),H20,IF(AND(D20="労務費",TRIM(E20)&lt;&gt;""),IFERROR(INDEX('設定'!$G$12:$G$31,MATCH(TRIM(E20),'設定'!$J$12:$J$31,0)),""),""))</f>
        <v/>
      </c>
      <c r="K20" s="30">
        <f>IF(AND(ISNUMBER(F20),ISNUMBER(J20)),ROUND(F20*J20,0),IF(ISNUMBER(I20),I20,""))</f>
        <v/>
      </c>
      <c r="L20" s="33" t="n"/>
      <c r="M20" s="34">
        <f>IF(COUNTA(A20:B20,D20:I20,L20)=0,"",IF(B20="","案件番号がありません",IF(ISNA(MATCH(B20,'案件'!$A$6:$A$105,0)),"案件シートに無い番号です",IF(NOT(OR(D20="材料費",D20="労務費",D20="外注費",D20="経費")),"費目を4つから選んでください",IF(K20="",IF(AND(ISNUMBER(F20),NOT(ISNUMBER(J20))),IF(D20="労務費","単価がありません（設定の作業者名と同じ書き方に）","単価がありません"),IF(AND(ISNUMBER(J20),NOT(ISNUMBER(F20))),"数量がありません","金額がありません")),IF(NOT(ISNUMBER(A20)),"日付がありません（月別集計に入りません）",IF(AND(ISNUMBER(F20),ISNUMBER(J20),ISNUMBER(I20)),"数量×単価を使いました（金額の欄は使っていません）","")))))))</f>
        <v/>
      </c>
      <c r="N20" s="91">
        <f>IF(AND(B20&lt;&gt;"",B20='案件カード'!$C$3),COUNTIF($B$5:B20,'案件カード'!$C$3),"")</f>
        <v/>
      </c>
      <c r="O20" s="91">
        <f>IF(ISNUMBER(K20),IF(B20="",K20,IF(AND(ISNUMBER(MATCH(B20,'案件'!$A$6:$A$105,0)),OR(D20="材料費",D20="労務費",D20="外注費",D20="経費")),0,K20)),0)</f>
        <v/>
      </c>
    </row>
    <row r="21" ht="16" customHeight="1">
      <c r="A21" s="35" t="n"/>
      <c r="B21" s="36" t="n"/>
      <c r="C21" s="37">
        <f>IF(B21="","",IFERROR(INDEX('案件'!$B$6:$B$105,MATCH(B21,'案件'!$A$6:$A$105,0))&amp;"","（案件シートに無い番号）"))</f>
        <v/>
      </c>
      <c r="D21" s="36" t="n"/>
      <c r="E21" s="38" t="n"/>
      <c r="F21" s="39" t="n"/>
      <c r="G21" s="36" t="n"/>
      <c r="H21" s="40" t="n"/>
      <c r="I21" s="40" t="n"/>
      <c r="J21" s="41">
        <f>IF(ISNUMBER(H21),H21,IF(AND(D21="労務費",TRIM(E21)&lt;&gt;""),IFERROR(INDEX('設定'!$G$12:$G$31,MATCH(TRIM(E21),'設定'!$J$12:$J$31,0)),""),""))</f>
        <v/>
      </c>
      <c r="K21" s="30">
        <f>IF(AND(ISNUMBER(F21),ISNUMBER(J21)),ROUND(F21*J21,0),IF(ISNUMBER(I21),I21,""))</f>
        <v/>
      </c>
      <c r="L21" s="33" t="n"/>
      <c r="M21" s="34">
        <f>IF(COUNTA(A21:B21,D21:I21,L21)=0,"",IF(B21="","案件番号がありません",IF(ISNA(MATCH(B21,'案件'!$A$6:$A$105,0)),"案件シートに無い番号です",IF(NOT(OR(D21="材料費",D21="労務費",D21="外注費",D21="経費")),"費目を4つから選んでください",IF(K21="",IF(AND(ISNUMBER(F21),NOT(ISNUMBER(J21))),IF(D21="労務費","単価がありません（設定の作業者名と同じ書き方に）","単価がありません"),IF(AND(ISNUMBER(J21),NOT(ISNUMBER(F21))),"数量がありません","金額がありません")),IF(NOT(ISNUMBER(A21)),"日付がありません（月別集計に入りません）",IF(AND(ISNUMBER(F21),ISNUMBER(J21),ISNUMBER(I21)),"数量×単価を使いました（金額の欄は使っていません）","")))))))</f>
        <v/>
      </c>
      <c r="N21" s="91">
        <f>IF(AND(B21&lt;&gt;"",B21='案件カード'!$C$3),COUNTIF($B$5:B21,'案件カード'!$C$3),"")</f>
        <v/>
      </c>
      <c r="O21" s="91">
        <f>IF(ISNUMBER(K21),IF(B21="",K21,IF(AND(ISNUMBER(MATCH(B21,'案件'!$A$6:$A$105,0)),OR(D21="材料費",D21="労務費",D21="外注費",D21="経費")),0,K21)),0)</f>
        <v/>
      </c>
    </row>
    <row r="22" ht="16" customHeight="1">
      <c r="A22" s="35" t="n"/>
      <c r="B22" s="36" t="n"/>
      <c r="C22" s="37">
        <f>IF(B22="","",IFERROR(INDEX('案件'!$B$6:$B$105,MATCH(B22,'案件'!$A$6:$A$105,0))&amp;"","（案件シートに無い番号）"))</f>
        <v/>
      </c>
      <c r="D22" s="36" t="n"/>
      <c r="E22" s="38" t="n"/>
      <c r="F22" s="39" t="n"/>
      <c r="G22" s="36" t="n"/>
      <c r="H22" s="40" t="n"/>
      <c r="I22" s="40" t="n"/>
      <c r="J22" s="41">
        <f>IF(ISNUMBER(H22),H22,IF(AND(D22="労務費",TRIM(E22)&lt;&gt;""),IFERROR(INDEX('設定'!$G$12:$G$31,MATCH(TRIM(E22),'設定'!$J$12:$J$31,0)),""),""))</f>
        <v/>
      </c>
      <c r="K22" s="30">
        <f>IF(AND(ISNUMBER(F22),ISNUMBER(J22)),ROUND(F22*J22,0),IF(ISNUMBER(I22),I22,""))</f>
        <v/>
      </c>
      <c r="L22" s="33" t="n"/>
      <c r="M22" s="34">
        <f>IF(COUNTA(A22:B22,D22:I22,L22)=0,"",IF(B22="","案件番号がありません",IF(ISNA(MATCH(B22,'案件'!$A$6:$A$105,0)),"案件シートに無い番号です",IF(NOT(OR(D22="材料費",D22="労務費",D22="外注費",D22="経費")),"費目を4つから選んでください",IF(K22="",IF(AND(ISNUMBER(F22),NOT(ISNUMBER(J22))),IF(D22="労務費","単価がありません（設定の作業者名と同じ書き方に）","単価がありません"),IF(AND(ISNUMBER(J22),NOT(ISNUMBER(F22))),"数量がありません","金額がありません")),IF(NOT(ISNUMBER(A22)),"日付がありません（月別集計に入りません）",IF(AND(ISNUMBER(F22),ISNUMBER(J22),ISNUMBER(I22)),"数量×単価を使いました（金額の欄は使っていません）","")))))))</f>
        <v/>
      </c>
      <c r="N22" s="91">
        <f>IF(AND(B22&lt;&gt;"",B22='案件カード'!$C$3),COUNTIF($B$5:B22,'案件カード'!$C$3),"")</f>
        <v/>
      </c>
      <c r="O22" s="91">
        <f>IF(ISNUMBER(K22),IF(B22="",K22,IF(AND(ISNUMBER(MATCH(B22,'案件'!$A$6:$A$105,0)),OR(D22="材料費",D22="労務費",D22="外注費",D22="経費")),0,K22)),0)</f>
        <v/>
      </c>
    </row>
    <row r="23" ht="16" customHeight="1">
      <c r="A23" s="35" t="n"/>
      <c r="B23" s="36" t="n"/>
      <c r="C23" s="37">
        <f>IF(B23="","",IFERROR(INDEX('案件'!$B$6:$B$105,MATCH(B23,'案件'!$A$6:$A$105,0))&amp;"","（案件シートに無い番号）"))</f>
        <v/>
      </c>
      <c r="D23" s="36" t="n"/>
      <c r="E23" s="38" t="n"/>
      <c r="F23" s="39" t="n"/>
      <c r="G23" s="36" t="n"/>
      <c r="H23" s="40" t="n"/>
      <c r="I23" s="40" t="n"/>
      <c r="J23" s="41">
        <f>IF(ISNUMBER(H23),H23,IF(AND(D23="労務費",TRIM(E23)&lt;&gt;""),IFERROR(INDEX('設定'!$G$12:$G$31,MATCH(TRIM(E23),'設定'!$J$12:$J$31,0)),""),""))</f>
        <v/>
      </c>
      <c r="K23" s="30">
        <f>IF(AND(ISNUMBER(F23),ISNUMBER(J23)),ROUND(F23*J23,0),IF(ISNUMBER(I23),I23,""))</f>
        <v/>
      </c>
      <c r="L23" s="33" t="n"/>
      <c r="M23" s="34">
        <f>IF(COUNTA(A23:B23,D23:I23,L23)=0,"",IF(B23="","案件番号がありません",IF(ISNA(MATCH(B23,'案件'!$A$6:$A$105,0)),"案件シートに無い番号です",IF(NOT(OR(D23="材料費",D23="労務費",D23="外注費",D23="経費")),"費目を4つから選んでください",IF(K23="",IF(AND(ISNUMBER(F23),NOT(ISNUMBER(J23))),IF(D23="労務費","単価がありません（設定の作業者名と同じ書き方に）","単価がありません"),IF(AND(ISNUMBER(J23),NOT(ISNUMBER(F23))),"数量がありません","金額がありません")),IF(NOT(ISNUMBER(A23)),"日付がありません（月別集計に入りません）",IF(AND(ISNUMBER(F23),ISNUMBER(J23),ISNUMBER(I23)),"数量×単価を使いました（金額の欄は使っていません）","")))))))</f>
        <v/>
      </c>
      <c r="N23" s="91">
        <f>IF(AND(B23&lt;&gt;"",B23='案件カード'!$C$3),COUNTIF($B$5:B23,'案件カード'!$C$3),"")</f>
        <v/>
      </c>
      <c r="O23" s="91">
        <f>IF(ISNUMBER(K23),IF(B23="",K23,IF(AND(ISNUMBER(MATCH(B23,'案件'!$A$6:$A$105,0)),OR(D23="材料費",D23="労務費",D23="外注費",D23="経費")),0,K23)),0)</f>
        <v/>
      </c>
    </row>
    <row r="24" ht="16" customHeight="1">
      <c r="A24" s="35" t="n"/>
      <c r="B24" s="36" t="n"/>
      <c r="C24" s="37">
        <f>IF(B24="","",IFERROR(INDEX('案件'!$B$6:$B$105,MATCH(B24,'案件'!$A$6:$A$105,0))&amp;"","（案件シートに無い番号）"))</f>
        <v/>
      </c>
      <c r="D24" s="36" t="n"/>
      <c r="E24" s="38" t="n"/>
      <c r="F24" s="39" t="n"/>
      <c r="G24" s="36" t="n"/>
      <c r="H24" s="40" t="n"/>
      <c r="I24" s="40" t="n"/>
      <c r="J24" s="41">
        <f>IF(ISNUMBER(H24),H24,IF(AND(D24="労務費",TRIM(E24)&lt;&gt;""),IFERROR(INDEX('設定'!$G$12:$G$31,MATCH(TRIM(E24),'設定'!$J$12:$J$31,0)),""),""))</f>
        <v/>
      </c>
      <c r="K24" s="30">
        <f>IF(AND(ISNUMBER(F24),ISNUMBER(J24)),ROUND(F24*J24,0),IF(ISNUMBER(I24),I24,""))</f>
        <v/>
      </c>
      <c r="L24" s="33" t="n"/>
      <c r="M24" s="34">
        <f>IF(COUNTA(A24:B24,D24:I24,L24)=0,"",IF(B24="","案件番号がありません",IF(ISNA(MATCH(B24,'案件'!$A$6:$A$105,0)),"案件シートに無い番号です",IF(NOT(OR(D24="材料費",D24="労務費",D24="外注費",D24="経費")),"費目を4つから選んでください",IF(K24="",IF(AND(ISNUMBER(F24),NOT(ISNUMBER(J24))),IF(D24="労務費","単価がありません（設定の作業者名と同じ書き方に）","単価がありません"),IF(AND(ISNUMBER(J24),NOT(ISNUMBER(F24))),"数量がありません","金額がありません")),IF(NOT(ISNUMBER(A24)),"日付がありません（月別集計に入りません）",IF(AND(ISNUMBER(F24),ISNUMBER(J24),ISNUMBER(I24)),"数量×単価を使いました（金額の欄は使っていません）","")))))))</f>
        <v/>
      </c>
      <c r="N24" s="91">
        <f>IF(AND(B24&lt;&gt;"",B24='案件カード'!$C$3),COUNTIF($B$5:B24,'案件カード'!$C$3),"")</f>
        <v/>
      </c>
      <c r="O24" s="91">
        <f>IF(ISNUMBER(K24),IF(B24="",K24,IF(AND(ISNUMBER(MATCH(B24,'案件'!$A$6:$A$105,0)),OR(D24="材料費",D24="労務費",D24="外注費",D24="経費")),0,K24)),0)</f>
        <v/>
      </c>
    </row>
    <row r="25" ht="16" customHeight="1">
      <c r="A25" s="35" t="n"/>
      <c r="B25" s="36" t="n"/>
      <c r="C25" s="37">
        <f>IF(B25="","",IFERROR(INDEX('案件'!$B$6:$B$105,MATCH(B25,'案件'!$A$6:$A$105,0))&amp;"","（案件シートに無い番号）"))</f>
        <v/>
      </c>
      <c r="D25" s="36" t="n"/>
      <c r="E25" s="38" t="n"/>
      <c r="F25" s="39" t="n"/>
      <c r="G25" s="36" t="n"/>
      <c r="H25" s="40" t="n"/>
      <c r="I25" s="40" t="n"/>
      <c r="J25" s="41">
        <f>IF(ISNUMBER(H25),H25,IF(AND(D25="労務費",TRIM(E25)&lt;&gt;""),IFERROR(INDEX('設定'!$G$12:$G$31,MATCH(TRIM(E25),'設定'!$J$12:$J$31,0)),""),""))</f>
        <v/>
      </c>
      <c r="K25" s="30">
        <f>IF(AND(ISNUMBER(F25),ISNUMBER(J25)),ROUND(F25*J25,0),IF(ISNUMBER(I25),I25,""))</f>
        <v/>
      </c>
      <c r="L25" s="33" t="n"/>
      <c r="M25" s="34">
        <f>IF(COUNTA(A25:B25,D25:I25,L25)=0,"",IF(B25="","案件番号がありません",IF(ISNA(MATCH(B25,'案件'!$A$6:$A$105,0)),"案件シートに無い番号です",IF(NOT(OR(D25="材料費",D25="労務費",D25="外注費",D25="経費")),"費目を4つから選んでください",IF(K25="",IF(AND(ISNUMBER(F25),NOT(ISNUMBER(J25))),IF(D25="労務費","単価がありません（設定の作業者名と同じ書き方に）","単価がありません"),IF(AND(ISNUMBER(J25),NOT(ISNUMBER(F25))),"数量がありません","金額がありません")),IF(NOT(ISNUMBER(A25)),"日付がありません（月別集計に入りません）",IF(AND(ISNUMBER(F25),ISNUMBER(J25),ISNUMBER(I25)),"数量×単価を使いました（金額の欄は使っていません）","")))))))</f>
        <v/>
      </c>
      <c r="N25" s="91">
        <f>IF(AND(B25&lt;&gt;"",B25='案件カード'!$C$3),COUNTIF($B$5:B25,'案件カード'!$C$3),"")</f>
        <v/>
      </c>
      <c r="O25" s="91">
        <f>IF(ISNUMBER(K25),IF(B25="",K25,IF(AND(ISNUMBER(MATCH(B25,'案件'!$A$6:$A$105,0)),OR(D25="材料費",D25="労務費",D25="外注費",D25="経費")),0,K25)),0)</f>
        <v/>
      </c>
    </row>
    <row r="26" ht="16" customHeight="1">
      <c r="A26" s="35" t="n"/>
      <c r="B26" s="36" t="n"/>
      <c r="C26" s="37">
        <f>IF(B26="","",IFERROR(INDEX('案件'!$B$6:$B$105,MATCH(B26,'案件'!$A$6:$A$105,0))&amp;"","（案件シートに無い番号）"))</f>
        <v/>
      </c>
      <c r="D26" s="36" t="n"/>
      <c r="E26" s="38" t="n"/>
      <c r="F26" s="39" t="n"/>
      <c r="G26" s="36" t="n"/>
      <c r="H26" s="40" t="n"/>
      <c r="I26" s="40" t="n"/>
      <c r="J26" s="41">
        <f>IF(ISNUMBER(H26),H26,IF(AND(D26="労務費",TRIM(E26)&lt;&gt;""),IFERROR(INDEX('設定'!$G$12:$G$31,MATCH(TRIM(E26),'設定'!$J$12:$J$31,0)),""),""))</f>
        <v/>
      </c>
      <c r="K26" s="30">
        <f>IF(AND(ISNUMBER(F26),ISNUMBER(J26)),ROUND(F26*J26,0),IF(ISNUMBER(I26),I26,""))</f>
        <v/>
      </c>
      <c r="L26" s="33" t="n"/>
      <c r="M26" s="34">
        <f>IF(COUNTA(A26:B26,D26:I26,L26)=0,"",IF(B26="","案件番号がありません",IF(ISNA(MATCH(B26,'案件'!$A$6:$A$105,0)),"案件シートに無い番号です",IF(NOT(OR(D26="材料費",D26="労務費",D26="外注費",D26="経費")),"費目を4つから選んでください",IF(K26="",IF(AND(ISNUMBER(F26),NOT(ISNUMBER(J26))),IF(D26="労務費","単価がありません（設定の作業者名と同じ書き方に）","単価がありません"),IF(AND(ISNUMBER(J26),NOT(ISNUMBER(F26))),"数量がありません","金額がありません")),IF(NOT(ISNUMBER(A26)),"日付がありません（月別集計に入りません）",IF(AND(ISNUMBER(F26),ISNUMBER(J26),ISNUMBER(I26)),"数量×単価を使いました（金額の欄は使っていません）","")))))))</f>
        <v/>
      </c>
      <c r="N26" s="91">
        <f>IF(AND(B26&lt;&gt;"",B26='案件カード'!$C$3),COUNTIF($B$5:B26,'案件カード'!$C$3),"")</f>
        <v/>
      </c>
      <c r="O26" s="91">
        <f>IF(ISNUMBER(K26),IF(B26="",K26,IF(AND(ISNUMBER(MATCH(B26,'案件'!$A$6:$A$105,0)),OR(D26="材料費",D26="労務費",D26="外注費",D26="経費")),0,K26)),0)</f>
        <v/>
      </c>
    </row>
    <row r="27" ht="16" customHeight="1">
      <c r="A27" s="35" t="n"/>
      <c r="B27" s="36" t="n"/>
      <c r="C27" s="37">
        <f>IF(B27="","",IFERROR(INDEX('案件'!$B$6:$B$105,MATCH(B27,'案件'!$A$6:$A$105,0))&amp;"","（案件シートに無い番号）"))</f>
        <v/>
      </c>
      <c r="D27" s="36" t="n"/>
      <c r="E27" s="38" t="n"/>
      <c r="F27" s="39" t="n"/>
      <c r="G27" s="36" t="n"/>
      <c r="H27" s="40" t="n"/>
      <c r="I27" s="40" t="n"/>
      <c r="J27" s="41">
        <f>IF(ISNUMBER(H27),H27,IF(AND(D27="労務費",TRIM(E27)&lt;&gt;""),IFERROR(INDEX('設定'!$G$12:$G$31,MATCH(TRIM(E27),'設定'!$J$12:$J$31,0)),""),""))</f>
        <v/>
      </c>
      <c r="K27" s="30">
        <f>IF(AND(ISNUMBER(F27),ISNUMBER(J27)),ROUND(F27*J27,0),IF(ISNUMBER(I27),I27,""))</f>
        <v/>
      </c>
      <c r="L27" s="33" t="n"/>
      <c r="M27" s="34">
        <f>IF(COUNTA(A27:B27,D27:I27,L27)=0,"",IF(B27="","案件番号がありません",IF(ISNA(MATCH(B27,'案件'!$A$6:$A$105,0)),"案件シートに無い番号です",IF(NOT(OR(D27="材料費",D27="労務費",D27="外注費",D27="経費")),"費目を4つから選んでください",IF(K27="",IF(AND(ISNUMBER(F27),NOT(ISNUMBER(J27))),IF(D27="労務費","単価がありません（設定の作業者名と同じ書き方に）","単価がありません"),IF(AND(ISNUMBER(J27),NOT(ISNUMBER(F27))),"数量がありません","金額がありません")),IF(NOT(ISNUMBER(A27)),"日付がありません（月別集計に入りません）",IF(AND(ISNUMBER(F27),ISNUMBER(J27),ISNUMBER(I27)),"数量×単価を使いました（金額の欄は使っていません）","")))))))</f>
        <v/>
      </c>
      <c r="N27" s="91">
        <f>IF(AND(B27&lt;&gt;"",B27='案件カード'!$C$3),COUNTIF($B$5:B27,'案件カード'!$C$3),"")</f>
        <v/>
      </c>
      <c r="O27" s="91">
        <f>IF(ISNUMBER(K27),IF(B27="",K27,IF(AND(ISNUMBER(MATCH(B27,'案件'!$A$6:$A$105,0)),OR(D27="材料費",D27="労務費",D27="外注費",D27="経費")),0,K27)),0)</f>
        <v/>
      </c>
    </row>
    <row r="28" ht="16" customHeight="1">
      <c r="A28" s="35" t="n"/>
      <c r="B28" s="36" t="n"/>
      <c r="C28" s="37">
        <f>IF(B28="","",IFERROR(INDEX('案件'!$B$6:$B$105,MATCH(B28,'案件'!$A$6:$A$105,0))&amp;"","（案件シートに無い番号）"))</f>
        <v/>
      </c>
      <c r="D28" s="36" t="n"/>
      <c r="E28" s="38" t="n"/>
      <c r="F28" s="39" t="n"/>
      <c r="G28" s="36" t="n"/>
      <c r="H28" s="40" t="n"/>
      <c r="I28" s="40" t="n"/>
      <c r="J28" s="41">
        <f>IF(ISNUMBER(H28),H28,IF(AND(D28="労務費",TRIM(E28)&lt;&gt;""),IFERROR(INDEX('設定'!$G$12:$G$31,MATCH(TRIM(E28),'設定'!$J$12:$J$31,0)),""),""))</f>
        <v/>
      </c>
      <c r="K28" s="30">
        <f>IF(AND(ISNUMBER(F28),ISNUMBER(J28)),ROUND(F28*J28,0),IF(ISNUMBER(I28),I28,""))</f>
        <v/>
      </c>
      <c r="L28" s="33" t="n"/>
      <c r="M28" s="34">
        <f>IF(COUNTA(A28:B28,D28:I28,L28)=0,"",IF(B28="","案件番号がありません",IF(ISNA(MATCH(B28,'案件'!$A$6:$A$105,0)),"案件シートに無い番号です",IF(NOT(OR(D28="材料費",D28="労務費",D28="外注費",D28="経費")),"費目を4つから選んでください",IF(K28="",IF(AND(ISNUMBER(F28),NOT(ISNUMBER(J28))),IF(D28="労務費","単価がありません（設定の作業者名と同じ書き方に）","単価がありません"),IF(AND(ISNUMBER(J28),NOT(ISNUMBER(F28))),"数量がありません","金額がありません")),IF(NOT(ISNUMBER(A28)),"日付がありません（月別集計に入りません）",IF(AND(ISNUMBER(F28),ISNUMBER(J28),ISNUMBER(I28)),"数量×単価を使いました（金額の欄は使っていません）","")))))))</f>
        <v/>
      </c>
      <c r="N28" s="91">
        <f>IF(AND(B28&lt;&gt;"",B28='案件カード'!$C$3),COUNTIF($B$5:B28,'案件カード'!$C$3),"")</f>
        <v/>
      </c>
      <c r="O28" s="91">
        <f>IF(ISNUMBER(K28),IF(B28="",K28,IF(AND(ISNUMBER(MATCH(B28,'案件'!$A$6:$A$105,0)),OR(D28="材料費",D28="労務費",D28="外注費",D28="経費")),0,K28)),0)</f>
        <v/>
      </c>
    </row>
    <row r="29" ht="16" customHeight="1">
      <c r="A29" s="35" t="n"/>
      <c r="B29" s="36" t="n"/>
      <c r="C29" s="37">
        <f>IF(B29="","",IFERROR(INDEX('案件'!$B$6:$B$105,MATCH(B29,'案件'!$A$6:$A$105,0))&amp;"","（案件シートに無い番号）"))</f>
        <v/>
      </c>
      <c r="D29" s="36" t="n"/>
      <c r="E29" s="38" t="n"/>
      <c r="F29" s="39" t="n"/>
      <c r="G29" s="36" t="n"/>
      <c r="H29" s="40" t="n"/>
      <c r="I29" s="40" t="n"/>
      <c r="J29" s="41">
        <f>IF(ISNUMBER(H29),H29,IF(AND(D29="労務費",TRIM(E29)&lt;&gt;""),IFERROR(INDEX('設定'!$G$12:$G$31,MATCH(TRIM(E29),'設定'!$J$12:$J$31,0)),""),""))</f>
        <v/>
      </c>
      <c r="K29" s="30">
        <f>IF(AND(ISNUMBER(F29),ISNUMBER(J29)),ROUND(F29*J29,0),IF(ISNUMBER(I29),I29,""))</f>
        <v/>
      </c>
      <c r="L29" s="33" t="n"/>
      <c r="M29" s="34">
        <f>IF(COUNTA(A29:B29,D29:I29,L29)=0,"",IF(B29="","案件番号がありません",IF(ISNA(MATCH(B29,'案件'!$A$6:$A$105,0)),"案件シートに無い番号です",IF(NOT(OR(D29="材料費",D29="労務費",D29="外注費",D29="経費")),"費目を4つから選んでください",IF(K29="",IF(AND(ISNUMBER(F29),NOT(ISNUMBER(J29))),IF(D29="労務費","単価がありません（設定の作業者名と同じ書き方に）","単価がありません"),IF(AND(ISNUMBER(J29),NOT(ISNUMBER(F29))),"数量がありません","金額がありません")),IF(NOT(ISNUMBER(A29)),"日付がありません（月別集計に入りません）",IF(AND(ISNUMBER(F29),ISNUMBER(J29),ISNUMBER(I29)),"数量×単価を使いました（金額の欄は使っていません）","")))))))</f>
        <v/>
      </c>
      <c r="N29" s="91">
        <f>IF(AND(B29&lt;&gt;"",B29='案件カード'!$C$3),COUNTIF($B$5:B29,'案件カード'!$C$3),"")</f>
        <v/>
      </c>
      <c r="O29" s="91">
        <f>IF(ISNUMBER(K29),IF(B29="",K29,IF(AND(ISNUMBER(MATCH(B29,'案件'!$A$6:$A$105,0)),OR(D29="材料費",D29="労務費",D29="外注費",D29="経費")),0,K29)),0)</f>
        <v/>
      </c>
    </row>
    <row r="30" ht="16" customHeight="1">
      <c r="A30" s="35" t="n"/>
      <c r="B30" s="36" t="n"/>
      <c r="C30" s="37">
        <f>IF(B30="","",IFERROR(INDEX('案件'!$B$6:$B$105,MATCH(B30,'案件'!$A$6:$A$105,0))&amp;"","（案件シートに無い番号）"))</f>
        <v/>
      </c>
      <c r="D30" s="36" t="n"/>
      <c r="E30" s="38" t="n"/>
      <c r="F30" s="39" t="n"/>
      <c r="G30" s="36" t="n"/>
      <c r="H30" s="40" t="n"/>
      <c r="I30" s="40" t="n"/>
      <c r="J30" s="41">
        <f>IF(ISNUMBER(H30),H30,IF(AND(D30="労務費",TRIM(E30)&lt;&gt;""),IFERROR(INDEX('設定'!$G$12:$G$31,MATCH(TRIM(E30),'設定'!$J$12:$J$31,0)),""),""))</f>
        <v/>
      </c>
      <c r="K30" s="30">
        <f>IF(AND(ISNUMBER(F30),ISNUMBER(J30)),ROUND(F30*J30,0),IF(ISNUMBER(I30),I30,""))</f>
        <v/>
      </c>
      <c r="L30" s="33" t="n"/>
      <c r="M30" s="34">
        <f>IF(COUNTA(A30:B30,D30:I30,L30)=0,"",IF(B30="","案件番号がありません",IF(ISNA(MATCH(B30,'案件'!$A$6:$A$105,0)),"案件シートに無い番号です",IF(NOT(OR(D30="材料費",D30="労務費",D30="外注費",D30="経費")),"費目を4つから選んでください",IF(K30="",IF(AND(ISNUMBER(F30),NOT(ISNUMBER(J30))),IF(D30="労務費","単価がありません（設定の作業者名と同じ書き方に）","単価がありません"),IF(AND(ISNUMBER(J30),NOT(ISNUMBER(F30))),"数量がありません","金額がありません")),IF(NOT(ISNUMBER(A30)),"日付がありません（月別集計に入りません）",IF(AND(ISNUMBER(F30),ISNUMBER(J30),ISNUMBER(I30)),"数量×単価を使いました（金額の欄は使っていません）","")))))))</f>
        <v/>
      </c>
      <c r="N30" s="91">
        <f>IF(AND(B30&lt;&gt;"",B30='案件カード'!$C$3),COUNTIF($B$5:B30,'案件カード'!$C$3),"")</f>
        <v/>
      </c>
      <c r="O30" s="91">
        <f>IF(ISNUMBER(K30),IF(B30="",K30,IF(AND(ISNUMBER(MATCH(B30,'案件'!$A$6:$A$105,0)),OR(D30="材料費",D30="労務費",D30="外注費",D30="経費")),0,K30)),0)</f>
        <v/>
      </c>
    </row>
    <row r="31" ht="16" customHeight="1">
      <c r="A31" s="35" t="n"/>
      <c r="B31" s="36" t="n"/>
      <c r="C31" s="37">
        <f>IF(B31="","",IFERROR(INDEX('案件'!$B$6:$B$105,MATCH(B31,'案件'!$A$6:$A$105,0))&amp;"","（案件シートに無い番号）"))</f>
        <v/>
      </c>
      <c r="D31" s="36" t="n"/>
      <c r="E31" s="38" t="n"/>
      <c r="F31" s="39" t="n"/>
      <c r="G31" s="36" t="n"/>
      <c r="H31" s="40" t="n"/>
      <c r="I31" s="40" t="n"/>
      <c r="J31" s="41">
        <f>IF(ISNUMBER(H31),H31,IF(AND(D31="労務費",TRIM(E31)&lt;&gt;""),IFERROR(INDEX('設定'!$G$12:$G$31,MATCH(TRIM(E31),'設定'!$J$12:$J$31,0)),""),""))</f>
        <v/>
      </c>
      <c r="K31" s="30">
        <f>IF(AND(ISNUMBER(F31),ISNUMBER(J31)),ROUND(F31*J31,0),IF(ISNUMBER(I31),I31,""))</f>
        <v/>
      </c>
      <c r="L31" s="33" t="n"/>
      <c r="M31" s="34">
        <f>IF(COUNTA(A31:B31,D31:I31,L31)=0,"",IF(B31="","案件番号がありません",IF(ISNA(MATCH(B31,'案件'!$A$6:$A$105,0)),"案件シートに無い番号です",IF(NOT(OR(D31="材料費",D31="労務費",D31="外注費",D31="経費")),"費目を4つから選んでください",IF(K31="",IF(AND(ISNUMBER(F31),NOT(ISNUMBER(J31))),IF(D31="労務費","単価がありません（設定の作業者名と同じ書き方に）","単価がありません"),IF(AND(ISNUMBER(J31),NOT(ISNUMBER(F31))),"数量がありません","金額がありません")),IF(NOT(ISNUMBER(A31)),"日付がありません（月別集計に入りません）",IF(AND(ISNUMBER(F31),ISNUMBER(J31),ISNUMBER(I31)),"数量×単価を使いました（金額の欄は使っていません）","")))))))</f>
        <v/>
      </c>
      <c r="N31" s="91">
        <f>IF(AND(B31&lt;&gt;"",B31='案件カード'!$C$3),COUNTIF($B$5:B31,'案件カード'!$C$3),"")</f>
        <v/>
      </c>
      <c r="O31" s="91">
        <f>IF(ISNUMBER(K31),IF(B31="",K31,IF(AND(ISNUMBER(MATCH(B31,'案件'!$A$6:$A$105,0)),OR(D31="材料費",D31="労務費",D31="外注費",D31="経費")),0,K31)),0)</f>
        <v/>
      </c>
    </row>
    <row r="32" ht="16" customHeight="1">
      <c r="A32" s="35" t="n"/>
      <c r="B32" s="36" t="n"/>
      <c r="C32" s="37">
        <f>IF(B32="","",IFERROR(INDEX('案件'!$B$6:$B$105,MATCH(B32,'案件'!$A$6:$A$105,0))&amp;"","（案件シートに無い番号）"))</f>
        <v/>
      </c>
      <c r="D32" s="36" t="n"/>
      <c r="E32" s="38" t="n"/>
      <c r="F32" s="39" t="n"/>
      <c r="G32" s="36" t="n"/>
      <c r="H32" s="40" t="n"/>
      <c r="I32" s="40" t="n"/>
      <c r="J32" s="41">
        <f>IF(ISNUMBER(H32),H32,IF(AND(D32="労務費",TRIM(E32)&lt;&gt;""),IFERROR(INDEX('設定'!$G$12:$G$31,MATCH(TRIM(E32),'設定'!$J$12:$J$31,0)),""),""))</f>
        <v/>
      </c>
      <c r="K32" s="30">
        <f>IF(AND(ISNUMBER(F32),ISNUMBER(J32)),ROUND(F32*J32,0),IF(ISNUMBER(I32),I32,""))</f>
        <v/>
      </c>
      <c r="L32" s="33" t="n"/>
      <c r="M32" s="34">
        <f>IF(COUNTA(A32:B32,D32:I32,L32)=0,"",IF(B32="","案件番号がありません",IF(ISNA(MATCH(B32,'案件'!$A$6:$A$105,0)),"案件シートに無い番号です",IF(NOT(OR(D32="材料費",D32="労務費",D32="外注費",D32="経費")),"費目を4つから選んでください",IF(K32="",IF(AND(ISNUMBER(F32),NOT(ISNUMBER(J32))),IF(D32="労務費","単価がありません（設定の作業者名と同じ書き方に）","単価がありません"),IF(AND(ISNUMBER(J32),NOT(ISNUMBER(F32))),"数量がありません","金額がありません")),IF(NOT(ISNUMBER(A32)),"日付がありません（月別集計に入りません）",IF(AND(ISNUMBER(F32),ISNUMBER(J32),ISNUMBER(I32)),"数量×単価を使いました（金額の欄は使っていません）","")))))))</f>
        <v/>
      </c>
      <c r="N32" s="91">
        <f>IF(AND(B32&lt;&gt;"",B32='案件カード'!$C$3),COUNTIF($B$5:B32,'案件カード'!$C$3),"")</f>
        <v/>
      </c>
      <c r="O32" s="91">
        <f>IF(ISNUMBER(K32),IF(B32="",K32,IF(AND(ISNUMBER(MATCH(B32,'案件'!$A$6:$A$105,0)),OR(D32="材料費",D32="労務費",D32="外注費",D32="経費")),0,K32)),0)</f>
        <v/>
      </c>
    </row>
    <row r="33" ht="16" customHeight="1">
      <c r="A33" s="35" t="n"/>
      <c r="B33" s="36" t="n"/>
      <c r="C33" s="37">
        <f>IF(B33="","",IFERROR(INDEX('案件'!$B$6:$B$105,MATCH(B33,'案件'!$A$6:$A$105,0))&amp;"","（案件シートに無い番号）"))</f>
        <v/>
      </c>
      <c r="D33" s="36" t="n"/>
      <c r="E33" s="38" t="n"/>
      <c r="F33" s="39" t="n"/>
      <c r="G33" s="36" t="n"/>
      <c r="H33" s="40" t="n"/>
      <c r="I33" s="40" t="n"/>
      <c r="J33" s="41">
        <f>IF(ISNUMBER(H33),H33,IF(AND(D33="労務費",TRIM(E33)&lt;&gt;""),IFERROR(INDEX('設定'!$G$12:$G$31,MATCH(TRIM(E33),'設定'!$J$12:$J$31,0)),""),""))</f>
        <v/>
      </c>
      <c r="K33" s="30">
        <f>IF(AND(ISNUMBER(F33),ISNUMBER(J33)),ROUND(F33*J33,0),IF(ISNUMBER(I33),I33,""))</f>
        <v/>
      </c>
      <c r="L33" s="33" t="n"/>
      <c r="M33" s="34">
        <f>IF(COUNTA(A33:B33,D33:I33,L33)=0,"",IF(B33="","案件番号がありません",IF(ISNA(MATCH(B33,'案件'!$A$6:$A$105,0)),"案件シートに無い番号です",IF(NOT(OR(D33="材料費",D33="労務費",D33="外注費",D33="経費")),"費目を4つから選んでください",IF(K33="",IF(AND(ISNUMBER(F33),NOT(ISNUMBER(J33))),IF(D33="労務費","単価がありません（設定の作業者名と同じ書き方に）","単価がありません"),IF(AND(ISNUMBER(J33),NOT(ISNUMBER(F33))),"数量がありません","金額がありません")),IF(NOT(ISNUMBER(A33)),"日付がありません（月別集計に入りません）",IF(AND(ISNUMBER(F33),ISNUMBER(J33),ISNUMBER(I33)),"数量×単価を使いました（金額の欄は使っていません）","")))))))</f>
        <v/>
      </c>
      <c r="N33" s="91">
        <f>IF(AND(B33&lt;&gt;"",B33='案件カード'!$C$3),COUNTIF($B$5:B33,'案件カード'!$C$3),"")</f>
        <v/>
      </c>
      <c r="O33" s="91">
        <f>IF(ISNUMBER(K33),IF(B33="",K33,IF(AND(ISNUMBER(MATCH(B33,'案件'!$A$6:$A$105,0)),OR(D33="材料費",D33="労務費",D33="外注費",D33="経費")),0,K33)),0)</f>
        <v/>
      </c>
    </row>
    <row r="34" ht="16" customHeight="1">
      <c r="A34" s="35" t="n"/>
      <c r="B34" s="36" t="n"/>
      <c r="C34" s="37">
        <f>IF(B34="","",IFERROR(INDEX('案件'!$B$6:$B$105,MATCH(B34,'案件'!$A$6:$A$105,0))&amp;"","（案件シートに無い番号）"))</f>
        <v/>
      </c>
      <c r="D34" s="36" t="n"/>
      <c r="E34" s="38" t="n"/>
      <c r="F34" s="39" t="n"/>
      <c r="G34" s="36" t="n"/>
      <c r="H34" s="40" t="n"/>
      <c r="I34" s="40" t="n"/>
      <c r="J34" s="41">
        <f>IF(ISNUMBER(H34),H34,IF(AND(D34="労務費",TRIM(E34)&lt;&gt;""),IFERROR(INDEX('設定'!$G$12:$G$31,MATCH(TRIM(E34),'設定'!$J$12:$J$31,0)),""),""))</f>
        <v/>
      </c>
      <c r="K34" s="30">
        <f>IF(AND(ISNUMBER(F34),ISNUMBER(J34)),ROUND(F34*J34,0),IF(ISNUMBER(I34),I34,""))</f>
        <v/>
      </c>
      <c r="L34" s="33" t="n"/>
      <c r="M34" s="34">
        <f>IF(COUNTA(A34:B34,D34:I34,L34)=0,"",IF(B34="","案件番号がありません",IF(ISNA(MATCH(B34,'案件'!$A$6:$A$105,0)),"案件シートに無い番号です",IF(NOT(OR(D34="材料費",D34="労務費",D34="外注費",D34="経費")),"費目を4つから選んでください",IF(K34="",IF(AND(ISNUMBER(F34),NOT(ISNUMBER(J34))),IF(D34="労務費","単価がありません（設定の作業者名と同じ書き方に）","単価がありません"),IF(AND(ISNUMBER(J34),NOT(ISNUMBER(F34))),"数量がありません","金額がありません")),IF(NOT(ISNUMBER(A34)),"日付がありません（月別集計に入りません）",IF(AND(ISNUMBER(F34),ISNUMBER(J34),ISNUMBER(I34)),"数量×単価を使いました（金額の欄は使っていません）","")))))))</f>
        <v/>
      </c>
      <c r="N34" s="91">
        <f>IF(AND(B34&lt;&gt;"",B34='案件カード'!$C$3),COUNTIF($B$5:B34,'案件カード'!$C$3),"")</f>
        <v/>
      </c>
      <c r="O34" s="91">
        <f>IF(ISNUMBER(K34),IF(B34="",K34,IF(AND(ISNUMBER(MATCH(B34,'案件'!$A$6:$A$105,0)),OR(D34="材料費",D34="労務費",D34="外注費",D34="経費")),0,K34)),0)</f>
        <v/>
      </c>
    </row>
    <row r="35" ht="16" customHeight="1">
      <c r="A35" s="35" t="n"/>
      <c r="B35" s="36" t="n"/>
      <c r="C35" s="37">
        <f>IF(B35="","",IFERROR(INDEX('案件'!$B$6:$B$105,MATCH(B35,'案件'!$A$6:$A$105,0))&amp;"","（案件シートに無い番号）"))</f>
        <v/>
      </c>
      <c r="D35" s="36" t="n"/>
      <c r="E35" s="38" t="n"/>
      <c r="F35" s="39" t="n"/>
      <c r="G35" s="36" t="n"/>
      <c r="H35" s="40" t="n"/>
      <c r="I35" s="40" t="n"/>
      <c r="J35" s="41">
        <f>IF(ISNUMBER(H35),H35,IF(AND(D35="労務費",TRIM(E35)&lt;&gt;""),IFERROR(INDEX('設定'!$G$12:$G$31,MATCH(TRIM(E35),'設定'!$J$12:$J$31,0)),""),""))</f>
        <v/>
      </c>
      <c r="K35" s="30">
        <f>IF(AND(ISNUMBER(F35),ISNUMBER(J35)),ROUND(F35*J35,0),IF(ISNUMBER(I35),I35,""))</f>
        <v/>
      </c>
      <c r="L35" s="33" t="n"/>
      <c r="M35" s="34">
        <f>IF(COUNTA(A35:B35,D35:I35,L35)=0,"",IF(B35="","案件番号がありません",IF(ISNA(MATCH(B35,'案件'!$A$6:$A$105,0)),"案件シートに無い番号です",IF(NOT(OR(D35="材料費",D35="労務費",D35="外注費",D35="経費")),"費目を4つから選んでください",IF(K35="",IF(AND(ISNUMBER(F35),NOT(ISNUMBER(J35))),IF(D35="労務費","単価がありません（設定の作業者名と同じ書き方に）","単価がありません"),IF(AND(ISNUMBER(J35),NOT(ISNUMBER(F35))),"数量がありません","金額がありません")),IF(NOT(ISNUMBER(A35)),"日付がありません（月別集計に入りません）",IF(AND(ISNUMBER(F35),ISNUMBER(J35),ISNUMBER(I35)),"数量×単価を使いました（金額の欄は使っていません）","")))))))</f>
        <v/>
      </c>
      <c r="N35" s="91">
        <f>IF(AND(B35&lt;&gt;"",B35='案件カード'!$C$3),COUNTIF($B$5:B35,'案件カード'!$C$3),"")</f>
        <v/>
      </c>
      <c r="O35" s="91">
        <f>IF(ISNUMBER(K35),IF(B35="",K35,IF(AND(ISNUMBER(MATCH(B35,'案件'!$A$6:$A$105,0)),OR(D35="材料費",D35="労務費",D35="外注費",D35="経費")),0,K35)),0)</f>
        <v/>
      </c>
    </row>
    <row r="36" ht="16" customHeight="1">
      <c r="A36" s="35" t="n"/>
      <c r="B36" s="36" t="n"/>
      <c r="C36" s="37">
        <f>IF(B36="","",IFERROR(INDEX('案件'!$B$6:$B$105,MATCH(B36,'案件'!$A$6:$A$105,0))&amp;"","（案件シートに無い番号）"))</f>
        <v/>
      </c>
      <c r="D36" s="36" t="n"/>
      <c r="E36" s="38" t="n"/>
      <c r="F36" s="39" t="n"/>
      <c r="G36" s="36" t="n"/>
      <c r="H36" s="40" t="n"/>
      <c r="I36" s="40" t="n"/>
      <c r="J36" s="41">
        <f>IF(ISNUMBER(H36),H36,IF(AND(D36="労務費",TRIM(E36)&lt;&gt;""),IFERROR(INDEX('設定'!$G$12:$G$31,MATCH(TRIM(E36),'設定'!$J$12:$J$31,0)),""),""))</f>
        <v/>
      </c>
      <c r="K36" s="30">
        <f>IF(AND(ISNUMBER(F36),ISNUMBER(J36)),ROUND(F36*J36,0),IF(ISNUMBER(I36),I36,""))</f>
        <v/>
      </c>
      <c r="L36" s="33" t="n"/>
      <c r="M36" s="34">
        <f>IF(COUNTA(A36:B36,D36:I36,L36)=0,"",IF(B36="","案件番号がありません",IF(ISNA(MATCH(B36,'案件'!$A$6:$A$105,0)),"案件シートに無い番号です",IF(NOT(OR(D36="材料費",D36="労務費",D36="外注費",D36="経費")),"費目を4つから選んでください",IF(K36="",IF(AND(ISNUMBER(F36),NOT(ISNUMBER(J36))),IF(D36="労務費","単価がありません（設定の作業者名と同じ書き方に）","単価がありません"),IF(AND(ISNUMBER(J36),NOT(ISNUMBER(F36))),"数量がありません","金額がありません")),IF(NOT(ISNUMBER(A36)),"日付がありません（月別集計に入りません）",IF(AND(ISNUMBER(F36),ISNUMBER(J36),ISNUMBER(I36)),"数量×単価を使いました（金額の欄は使っていません）","")))))))</f>
        <v/>
      </c>
      <c r="N36" s="91">
        <f>IF(AND(B36&lt;&gt;"",B36='案件カード'!$C$3),COUNTIF($B$5:B36,'案件カード'!$C$3),"")</f>
        <v/>
      </c>
      <c r="O36" s="91">
        <f>IF(ISNUMBER(K36),IF(B36="",K36,IF(AND(ISNUMBER(MATCH(B36,'案件'!$A$6:$A$105,0)),OR(D36="材料費",D36="労務費",D36="外注費",D36="経費")),0,K36)),0)</f>
        <v/>
      </c>
    </row>
    <row r="37" ht="16" customHeight="1">
      <c r="A37" s="35" t="n"/>
      <c r="B37" s="36" t="n"/>
      <c r="C37" s="37">
        <f>IF(B37="","",IFERROR(INDEX('案件'!$B$6:$B$105,MATCH(B37,'案件'!$A$6:$A$105,0))&amp;"","（案件シートに無い番号）"))</f>
        <v/>
      </c>
      <c r="D37" s="36" t="n"/>
      <c r="E37" s="38" t="n"/>
      <c r="F37" s="39" t="n"/>
      <c r="G37" s="36" t="n"/>
      <c r="H37" s="40" t="n"/>
      <c r="I37" s="40" t="n"/>
      <c r="J37" s="41">
        <f>IF(ISNUMBER(H37),H37,IF(AND(D37="労務費",TRIM(E37)&lt;&gt;""),IFERROR(INDEX('設定'!$G$12:$G$31,MATCH(TRIM(E37),'設定'!$J$12:$J$31,0)),""),""))</f>
        <v/>
      </c>
      <c r="K37" s="30">
        <f>IF(AND(ISNUMBER(F37),ISNUMBER(J37)),ROUND(F37*J37,0),IF(ISNUMBER(I37),I37,""))</f>
        <v/>
      </c>
      <c r="L37" s="33" t="n"/>
      <c r="M37" s="34">
        <f>IF(COUNTA(A37:B37,D37:I37,L37)=0,"",IF(B37="","案件番号がありません",IF(ISNA(MATCH(B37,'案件'!$A$6:$A$105,0)),"案件シートに無い番号です",IF(NOT(OR(D37="材料費",D37="労務費",D37="外注費",D37="経費")),"費目を4つから選んでください",IF(K37="",IF(AND(ISNUMBER(F37),NOT(ISNUMBER(J37))),IF(D37="労務費","単価がありません（設定の作業者名と同じ書き方に）","単価がありません"),IF(AND(ISNUMBER(J37),NOT(ISNUMBER(F37))),"数量がありません","金額がありません")),IF(NOT(ISNUMBER(A37)),"日付がありません（月別集計に入りません）",IF(AND(ISNUMBER(F37),ISNUMBER(J37),ISNUMBER(I37)),"数量×単価を使いました（金額の欄は使っていません）","")))))))</f>
        <v/>
      </c>
      <c r="N37" s="91">
        <f>IF(AND(B37&lt;&gt;"",B37='案件カード'!$C$3),COUNTIF($B$5:B37,'案件カード'!$C$3),"")</f>
        <v/>
      </c>
      <c r="O37" s="91">
        <f>IF(ISNUMBER(K37),IF(B37="",K37,IF(AND(ISNUMBER(MATCH(B37,'案件'!$A$6:$A$105,0)),OR(D37="材料費",D37="労務費",D37="外注費",D37="経費")),0,K37)),0)</f>
        <v/>
      </c>
    </row>
    <row r="38" ht="16" customHeight="1">
      <c r="A38" s="35" t="n"/>
      <c r="B38" s="36" t="n"/>
      <c r="C38" s="37">
        <f>IF(B38="","",IFERROR(INDEX('案件'!$B$6:$B$105,MATCH(B38,'案件'!$A$6:$A$105,0))&amp;"","（案件シートに無い番号）"))</f>
        <v/>
      </c>
      <c r="D38" s="36" t="n"/>
      <c r="E38" s="38" t="n"/>
      <c r="F38" s="39" t="n"/>
      <c r="G38" s="36" t="n"/>
      <c r="H38" s="40" t="n"/>
      <c r="I38" s="40" t="n"/>
      <c r="J38" s="41">
        <f>IF(ISNUMBER(H38),H38,IF(AND(D38="労務費",TRIM(E38)&lt;&gt;""),IFERROR(INDEX('設定'!$G$12:$G$31,MATCH(TRIM(E38),'設定'!$J$12:$J$31,0)),""),""))</f>
        <v/>
      </c>
      <c r="K38" s="30">
        <f>IF(AND(ISNUMBER(F38),ISNUMBER(J38)),ROUND(F38*J38,0),IF(ISNUMBER(I38),I38,""))</f>
        <v/>
      </c>
      <c r="L38" s="33" t="n"/>
      <c r="M38" s="34">
        <f>IF(COUNTA(A38:B38,D38:I38,L38)=0,"",IF(B38="","案件番号がありません",IF(ISNA(MATCH(B38,'案件'!$A$6:$A$105,0)),"案件シートに無い番号です",IF(NOT(OR(D38="材料費",D38="労務費",D38="外注費",D38="経費")),"費目を4つから選んでください",IF(K38="",IF(AND(ISNUMBER(F38),NOT(ISNUMBER(J38))),IF(D38="労務費","単価がありません（設定の作業者名と同じ書き方に）","単価がありません"),IF(AND(ISNUMBER(J38),NOT(ISNUMBER(F38))),"数量がありません","金額がありません")),IF(NOT(ISNUMBER(A38)),"日付がありません（月別集計に入りません）",IF(AND(ISNUMBER(F38),ISNUMBER(J38),ISNUMBER(I38)),"数量×単価を使いました（金額の欄は使っていません）","")))))))</f>
        <v/>
      </c>
      <c r="N38" s="91">
        <f>IF(AND(B38&lt;&gt;"",B38='案件カード'!$C$3),COUNTIF($B$5:B38,'案件カード'!$C$3),"")</f>
        <v/>
      </c>
      <c r="O38" s="91">
        <f>IF(ISNUMBER(K38),IF(B38="",K38,IF(AND(ISNUMBER(MATCH(B38,'案件'!$A$6:$A$105,0)),OR(D38="材料費",D38="労務費",D38="外注費",D38="経費")),0,K38)),0)</f>
        <v/>
      </c>
    </row>
    <row r="39" ht="16" customHeight="1">
      <c r="A39" s="35" t="n"/>
      <c r="B39" s="36" t="n"/>
      <c r="C39" s="37">
        <f>IF(B39="","",IFERROR(INDEX('案件'!$B$6:$B$105,MATCH(B39,'案件'!$A$6:$A$105,0))&amp;"","（案件シートに無い番号）"))</f>
        <v/>
      </c>
      <c r="D39" s="36" t="n"/>
      <c r="E39" s="38" t="n"/>
      <c r="F39" s="39" t="n"/>
      <c r="G39" s="36" t="n"/>
      <c r="H39" s="40" t="n"/>
      <c r="I39" s="40" t="n"/>
      <c r="J39" s="41">
        <f>IF(ISNUMBER(H39),H39,IF(AND(D39="労務費",TRIM(E39)&lt;&gt;""),IFERROR(INDEX('設定'!$G$12:$G$31,MATCH(TRIM(E39),'設定'!$J$12:$J$31,0)),""),""))</f>
        <v/>
      </c>
      <c r="K39" s="30">
        <f>IF(AND(ISNUMBER(F39),ISNUMBER(J39)),ROUND(F39*J39,0),IF(ISNUMBER(I39),I39,""))</f>
        <v/>
      </c>
      <c r="L39" s="33" t="n"/>
      <c r="M39" s="34">
        <f>IF(COUNTA(A39:B39,D39:I39,L39)=0,"",IF(B39="","案件番号がありません",IF(ISNA(MATCH(B39,'案件'!$A$6:$A$105,0)),"案件シートに無い番号です",IF(NOT(OR(D39="材料費",D39="労務費",D39="外注費",D39="経費")),"費目を4つから選んでください",IF(K39="",IF(AND(ISNUMBER(F39),NOT(ISNUMBER(J39))),IF(D39="労務費","単価がありません（設定の作業者名と同じ書き方に）","単価がありません"),IF(AND(ISNUMBER(J39),NOT(ISNUMBER(F39))),"数量がありません","金額がありません")),IF(NOT(ISNUMBER(A39)),"日付がありません（月別集計に入りません）",IF(AND(ISNUMBER(F39),ISNUMBER(J39),ISNUMBER(I39)),"数量×単価を使いました（金額の欄は使っていません）","")))))))</f>
        <v/>
      </c>
      <c r="N39" s="91">
        <f>IF(AND(B39&lt;&gt;"",B39='案件カード'!$C$3),COUNTIF($B$5:B39,'案件カード'!$C$3),"")</f>
        <v/>
      </c>
      <c r="O39" s="91">
        <f>IF(ISNUMBER(K39),IF(B39="",K39,IF(AND(ISNUMBER(MATCH(B39,'案件'!$A$6:$A$105,0)),OR(D39="材料費",D39="労務費",D39="外注費",D39="経費")),0,K39)),0)</f>
        <v/>
      </c>
    </row>
    <row r="40" ht="16" customHeight="1">
      <c r="A40" s="35" t="n"/>
      <c r="B40" s="36" t="n"/>
      <c r="C40" s="37">
        <f>IF(B40="","",IFERROR(INDEX('案件'!$B$6:$B$105,MATCH(B40,'案件'!$A$6:$A$105,0))&amp;"","（案件シートに無い番号）"))</f>
        <v/>
      </c>
      <c r="D40" s="36" t="n"/>
      <c r="E40" s="38" t="n"/>
      <c r="F40" s="39" t="n"/>
      <c r="G40" s="36" t="n"/>
      <c r="H40" s="40" t="n"/>
      <c r="I40" s="40" t="n"/>
      <c r="J40" s="41">
        <f>IF(ISNUMBER(H40),H40,IF(AND(D40="労務費",TRIM(E40)&lt;&gt;""),IFERROR(INDEX('設定'!$G$12:$G$31,MATCH(TRIM(E40),'設定'!$J$12:$J$31,0)),""),""))</f>
        <v/>
      </c>
      <c r="K40" s="30">
        <f>IF(AND(ISNUMBER(F40),ISNUMBER(J40)),ROUND(F40*J40,0),IF(ISNUMBER(I40),I40,""))</f>
        <v/>
      </c>
      <c r="L40" s="33" t="n"/>
      <c r="M40" s="34">
        <f>IF(COUNTA(A40:B40,D40:I40,L40)=0,"",IF(B40="","案件番号がありません",IF(ISNA(MATCH(B40,'案件'!$A$6:$A$105,0)),"案件シートに無い番号です",IF(NOT(OR(D40="材料費",D40="労務費",D40="外注費",D40="経費")),"費目を4つから選んでください",IF(K40="",IF(AND(ISNUMBER(F40),NOT(ISNUMBER(J40))),IF(D40="労務費","単価がありません（設定の作業者名と同じ書き方に）","単価がありません"),IF(AND(ISNUMBER(J40),NOT(ISNUMBER(F40))),"数量がありません","金額がありません")),IF(NOT(ISNUMBER(A40)),"日付がありません（月別集計に入りません）",IF(AND(ISNUMBER(F40),ISNUMBER(J40),ISNUMBER(I40)),"数量×単価を使いました（金額の欄は使っていません）","")))))))</f>
        <v/>
      </c>
      <c r="N40" s="91">
        <f>IF(AND(B40&lt;&gt;"",B40='案件カード'!$C$3),COUNTIF($B$5:B40,'案件カード'!$C$3),"")</f>
        <v/>
      </c>
      <c r="O40" s="91">
        <f>IF(ISNUMBER(K40),IF(B40="",K40,IF(AND(ISNUMBER(MATCH(B40,'案件'!$A$6:$A$105,0)),OR(D40="材料費",D40="労務費",D40="外注費",D40="経費")),0,K40)),0)</f>
        <v/>
      </c>
    </row>
    <row r="41" ht="16" customHeight="1">
      <c r="A41" s="35" t="n"/>
      <c r="B41" s="36" t="n"/>
      <c r="C41" s="37">
        <f>IF(B41="","",IFERROR(INDEX('案件'!$B$6:$B$105,MATCH(B41,'案件'!$A$6:$A$105,0))&amp;"","（案件シートに無い番号）"))</f>
        <v/>
      </c>
      <c r="D41" s="36" t="n"/>
      <c r="E41" s="38" t="n"/>
      <c r="F41" s="39" t="n"/>
      <c r="G41" s="36" t="n"/>
      <c r="H41" s="40" t="n"/>
      <c r="I41" s="40" t="n"/>
      <c r="J41" s="41">
        <f>IF(ISNUMBER(H41),H41,IF(AND(D41="労務費",TRIM(E41)&lt;&gt;""),IFERROR(INDEX('設定'!$G$12:$G$31,MATCH(TRIM(E41),'設定'!$J$12:$J$31,0)),""),""))</f>
        <v/>
      </c>
      <c r="K41" s="30">
        <f>IF(AND(ISNUMBER(F41),ISNUMBER(J41)),ROUND(F41*J41,0),IF(ISNUMBER(I41),I41,""))</f>
        <v/>
      </c>
      <c r="L41" s="33" t="n"/>
      <c r="M41" s="34">
        <f>IF(COUNTA(A41:B41,D41:I41,L41)=0,"",IF(B41="","案件番号がありません",IF(ISNA(MATCH(B41,'案件'!$A$6:$A$105,0)),"案件シートに無い番号です",IF(NOT(OR(D41="材料費",D41="労務費",D41="外注費",D41="経費")),"費目を4つから選んでください",IF(K41="",IF(AND(ISNUMBER(F41),NOT(ISNUMBER(J41))),IF(D41="労務費","単価がありません（設定の作業者名と同じ書き方に）","単価がありません"),IF(AND(ISNUMBER(J41),NOT(ISNUMBER(F41))),"数量がありません","金額がありません")),IF(NOT(ISNUMBER(A41)),"日付がありません（月別集計に入りません）",IF(AND(ISNUMBER(F41),ISNUMBER(J41),ISNUMBER(I41)),"数量×単価を使いました（金額の欄は使っていません）","")))))))</f>
        <v/>
      </c>
      <c r="N41" s="91">
        <f>IF(AND(B41&lt;&gt;"",B41='案件カード'!$C$3),COUNTIF($B$5:B41,'案件カード'!$C$3),"")</f>
        <v/>
      </c>
      <c r="O41" s="91">
        <f>IF(ISNUMBER(K41),IF(B41="",K41,IF(AND(ISNUMBER(MATCH(B41,'案件'!$A$6:$A$105,0)),OR(D41="材料費",D41="労務費",D41="外注費",D41="経費")),0,K41)),0)</f>
        <v/>
      </c>
    </row>
    <row r="42" ht="16" customHeight="1">
      <c r="A42" s="35" t="n"/>
      <c r="B42" s="36" t="n"/>
      <c r="C42" s="37">
        <f>IF(B42="","",IFERROR(INDEX('案件'!$B$6:$B$105,MATCH(B42,'案件'!$A$6:$A$105,0))&amp;"","（案件シートに無い番号）"))</f>
        <v/>
      </c>
      <c r="D42" s="36" t="n"/>
      <c r="E42" s="38" t="n"/>
      <c r="F42" s="39" t="n"/>
      <c r="G42" s="36" t="n"/>
      <c r="H42" s="40" t="n"/>
      <c r="I42" s="40" t="n"/>
      <c r="J42" s="41">
        <f>IF(ISNUMBER(H42),H42,IF(AND(D42="労務費",TRIM(E42)&lt;&gt;""),IFERROR(INDEX('設定'!$G$12:$G$31,MATCH(TRIM(E42),'設定'!$J$12:$J$31,0)),""),""))</f>
        <v/>
      </c>
      <c r="K42" s="30">
        <f>IF(AND(ISNUMBER(F42),ISNUMBER(J42)),ROUND(F42*J42,0),IF(ISNUMBER(I42),I42,""))</f>
        <v/>
      </c>
      <c r="L42" s="33" t="n"/>
      <c r="M42" s="34">
        <f>IF(COUNTA(A42:B42,D42:I42,L42)=0,"",IF(B42="","案件番号がありません",IF(ISNA(MATCH(B42,'案件'!$A$6:$A$105,0)),"案件シートに無い番号です",IF(NOT(OR(D42="材料費",D42="労務費",D42="外注費",D42="経費")),"費目を4つから選んでください",IF(K42="",IF(AND(ISNUMBER(F42),NOT(ISNUMBER(J42))),IF(D42="労務費","単価がありません（設定の作業者名と同じ書き方に）","単価がありません"),IF(AND(ISNUMBER(J42),NOT(ISNUMBER(F42))),"数量がありません","金額がありません")),IF(NOT(ISNUMBER(A42)),"日付がありません（月別集計に入りません）",IF(AND(ISNUMBER(F42),ISNUMBER(J42),ISNUMBER(I42)),"数量×単価を使いました（金額の欄は使っていません）","")))))))</f>
        <v/>
      </c>
      <c r="N42" s="91">
        <f>IF(AND(B42&lt;&gt;"",B42='案件カード'!$C$3),COUNTIF($B$5:B42,'案件カード'!$C$3),"")</f>
        <v/>
      </c>
      <c r="O42" s="91">
        <f>IF(ISNUMBER(K42),IF(B42="",K42,IF(AND(ISNUMBER(MATCH(B42,'案件'!$A$6:$A$105,0)),OR(D42="材料費",D42="労務費",D42="外注費",D42="経費")),0,K42)),0)</f>
        <v/>
      </c>
    </row>
    <row r="43" ht="16" customHeight="1">
      <c r="A43" s="35" t="n"/>
      <c r="B43" s="36" t="n"/>
      <c r="C43" s="37">
        <f>IF(B43="","",IFERROR(INDEX('案件'!$B$6:$B$105,MATCH(B43,'案件'!$A$6:$A$105,0))&amp;"","（案件シートに無い番号）"))</f>
        <v/>
      </c>
      <c r="D43" s="36" t="n"/>
      <c r="E43" s="38" t="n"/>
      <c r="F43" s="39" t="n"/>
      <c r="G43" s="36" t="n"/>
      <c r="H43" s="40" t="n"/>
      <c r="I43" s="40" t="n"/>
      <c r="J43" s="41">
        <f>IF(ISNUMBER(H43),H43,IF(AND(D43="労務費",TRIM(E43)&lt;&gt;""),IFERROR(INDEX('設定'!$G$12:$G$31,MATCH(TRIM(E43),'設定'!$J$12:$J$31,0)),""),""))</f>
        <v/>
      </c>
      <c r="K43" s="30">
        <f>IF(AND(ISNUMBER(F43),ISNUMBER(J43)),ROUND(F43*J43,0),IF(ISNUMBER(I43),I43,""))</f>
        <v/>
      </c>
      <c r="L43" s="33" t="n"/>
      <c r="M43" s="34">
        <f>IF(COUNTA(A43:B43,D43:I43,L43)=0,"",IF(B43="","案件番号がありません",IF(ISNA(MATCH(B43,'案件'!$A$6:$A$105,0)),"案件シートに無い番号です",IF(NOT(OR(D43="材料費",D43="労務費",D43="外注費",D43="経費")),"費目を4つから選んでください",IF(K43="",IF(AND(ISNUMBER(F43),NOT(ISNUMBER(J43))),IF(D43="労務費","単価がありません（設定の作業者名と同じ書き方に）","単価がありません"),IF(AND(ISNUMBER(J43),NOT(ISNUMBER(F43))),"数量がありません","金額がありません")),IF(NOT(ISNUMBER(A43)),"日付がありません（月別集計に入りません）",IF(AND(ISNUMBER(F43),ISNUMBER(J43),ISNUMBER(I43)),"数量×単価を使いました（金額の欄は使っていません）","")))))))</f>
        <v/>
      </c>
      <c r="N43" s="91">
        <f>IF(AND(B43&lt;&gt;"",B43='案件カード'!$C$3),COUNTIF($B$5:B43,'案件カード'!$C$3),"")</f>
        <v/>
      </c>
      <c r="O43" s="91">
        <f>IF(ISNUMBER(K43),IF(B43="",K43,IF(AND(ISNUMBER(MATCH(B43,'案件'!$A$6:$A$105,0)),OR(D43="材料費",D43="労務費",D43="外注費",D43="経費")),0,K43)),0)</f>
        <v/>
      </c>
    </row>
    <row r="44" ht="16" customHeight="1">
      <c r="A44" s="35" t="n"/>
      <c r="B44" s="36" t="n"/>
      <c r="C44" s="37">
        <f>IF(B44="","",IFERROR(INDEX('案件'!$B$6:$B$105,MATCH(B44,'案件'!$A$6:$A$105,0))&amp;"","（案件シートに無い番号）"))</f>
        <v/>
      </c>
      <c r="D44" s="36" t="n"/>
      <c r="E44" s="38" t="n"/>
      <c r="F44" s="39" t="n"/>
      <c r="G44" s="36" t="n"/>
      <c r="H44" s="40" t="n"/>
      <c r="I44" s="40" t="n"/>
      <c r="J44" s="41">
        <f>IF(ISNUMBER(H44),H44,IF(AND(D44="労務費",TRIM(E44)&lt;&gt;""),IFERROR(INDEX('設定'!$G$12:$G$31,MATCH(TRIM(E44),'設定'!$J$12:$J$31,0)),""),""))</f>
        <v/>
      </c>
      <c r="K44" s="30">
        <f>IF(AND(ISNUMBER(F44),ISNUMBER(J44)),ROUND(F44*J44,0),IF(ISNUMBER(I44),I44,""))</f>
        <v/>
      </c>
      <c r="L44" s="33" t="n"/>
      <c r="M44" s="34">
        <f>IF(COUNTA(A44:B44,D44:I44,L44)=0,"",IF(B44="","案件番号がありません",IF(ISNA(MATCH(B44,'案件'!$A$6:$A$105,0)),"案件シートに無い番号です",IF(NOT(OR(D44="材料費",D44="労務費",D44="外注費",D44="経費")),"費目を4つから選んでください",IF(K44="",IF(AND(ISNUMBER(F44),NOT(ISNUMBER(J44))),IF(D44="労務費","単価がありません（設定の作業者名と同じ書き方に）","単価がありません"),IF(AND(ISNUMBER(J44),NOT(ISNUMBER(F44))),"数量がありません","金額がありません")),IF(NOT(ISNUMBER(A44)),"日付がありません（月別集計に入りません）",IF(AND(ISNUMBER(F44),ISNUMBER(J44),ISNUMBER(I44)),"数量×単価を使いました（金額の欄は使っていません）","")))))))</f>
        <v/>
      </c>
      <c r="N44" s="91">
        <f>IF(AND(B44&lt;&gt;"",B44='案件カード'!$C$3),COUNTIF($B$5:B44,'案件カード'!$C$3),"")</f>
        <v/>
      </c>
      <c r="O44" s="91">
        <f>IF(ISNUMBER(K44),IF(B44="",K44,IF(AND(ISNUMBER(MATCH(B44,'案件'!$A$6:$A$105,0)),OR(D44="材料費",D44="労務費",D44="外注費",D44="経費")),0,K44)),0)</f>
        <v/>
      </c>
    </row>
    <row r="45" ht="16" customHeight="1">
      <c r="A45" s="35" t="n"/>
      <c r="B45" s="36" t="n"/>
      <c r="C45" s="37">
        <f>IF(B45="","",IFERROR(INDEX('案件'!$B$6:$B$105,MATCH(B45,'案件'!$A$6:$A$105,0))&amp;"","（案件シートに無い番号）"))</f>
        <v/>
      </c>
      <c r="D45" s="36" t="n"/>
      <c r="E45" s="38" t="n"/>
      <c r="F45" s="39" t="n"/>
      <c r="G45" s="36" t="n"/>
      <c r="H45" s="40" t="n"/>
      <c r="I45" s="40" t="n"/>
      <c r="J45" s="41">
        <f>IF(ISNUMBER(H45),H45,IF(AND(D45="労務費",TRIM(E45)&lt;&gt;""),IFERROR(INDEX('設定'!$G$12:$G$31,MATCH(TRIM(E45),'設定'!$J$12:$J$31,0)),""),""))</f>
        <v/>
      </c>
      <c r="K45" s="30">
        <f>IF(AND(ISNUMBER(F45),ISNUMBER(J45)),ROUND(F45*J45,0),IF(ISNUMBER(I45),I45,""))</f>
        <v/>
      </c>
      <c r="L45" s="33" t="n"/>
      <c r="M45" s="34">
        <f>IF(COUNTA(A45:B45,D45:I45,L45)=0,"",IF(B45="","案件番号がありません",IF(ISNA(MATCH(B45,'案件'!$A$6:$A$105,0)),"案件シートに無い番号です",IF(NOT(OR(D45="材料費",D45="労務費",D45="外注費",D45="経費")),"費目を4つから選んでください",IF(K45="",IF(AND(ISNUMBER(F45),NOT(ISNUMBER(J45))),IF(D45="労務費","単価がありません（設定の作業者名と同じ書き方に）","単価がありません"),IF(AND(ISNUMBER(J45),NOT(ISNUMBER(F45))),"数量がありません","金額がありません")),IF(NOT(ISNUMBER(A45)),"日付がありません（月別集計に入りません）",IF(AND(ISNUMBER(F45),ISNUMBER(J45),ISNUMBER(I45)),"数量×単価を使いました（金額の欄は使っていません）","")))))))</f>
        <v/>
      </c>
      <c r="N45" s="91">
        <f>IF(AND(B45&lt;&gt;"",B45='案件カード'!$C$3),COUNTIF($B$5:B45,'案件カード'!$C$3),"")</f>
        <v/>
      </c>
      <c r="O45" s="91">
        <f>IF(ISNUMBER(K45),IF(B45="",K45,IF(AND(ISNUMBER(MATCH(B45,'案件'!$A$6:$A$105,0)),OR(D45="材料費",D45="労務費",D45="外注費",D45="経費")),0,K45)),0)</f>
        <v/>
      </c>
    </row>
    <row r="46" ht="16" customHeight="1">
      <c r="A46" s="35" t="n"/>
      <c r="B46" s="36" t="n"/>
      <c r="C46" s="37">
        <f>IF(B46="","",IFERROR(INDEX('案件'!$B$6:$B$105,MATCH(B46,'案件'!$A$6:$A$105,0))&amp;"","（案件シートに無い番号）"))</f>
        <v/>
      </c>
      <c r="D46" s="36" t="n"/>
      <c r="E46" s="38" t="n"/>
      <c r="F46" s="39" t="n"/>
      <c r="G46" s="36" t="n"/>
      <c r="H46" s="40" t="n"/>
      <c r="I46" s="40" t="n"/>
      <c r="J46" s="41">
        <f>IF(ISNUMBER(H46),H46,IF(AND(D46="労務費",TRIM(E46)&lt;&gt;""),IFERROR(INDEX('設定'!$G$12:$G$31,MATCH(TRIM(E46),'設定'!$J$12:$J$31,0)),""),""))</f>
        <v/>
      </c>
      <c r="K46" s="30">
        <f>IF(AND(ISNUMBER(F46),ISNUMBER(J46)),ROUND(F46*J46,0),IF(ISNUMBER(I46),I46,""))</f>
        <v/>
      </c>
      <c r="L46" s="33" t="n"/>
      <c r="M46" s="34">
        <f>IF(COUNTA(A46:B46,D46:I46,L46)=0,"",IF(B46="","案件番号がありません",IF(ISNA(MATCH(B46,'案件'!$A$6:$A$105,0)),"案件シートに無い番号です",IF(NOT(OR(D46="材料費",D46="労務費",D46="外注費",D46="経費")),"費目を4つから選んでください",IF(K46="",IF(AND(ISNUMBER(F46),NOT(ISNUMBER(J46))),IF(D46="労務費","単価がありません（設定の作業者名と同じ書き方に）","単価がありません"),IF(AND(ISNUMBER(J46),NOT(ISNUMBER(F46))),"数量がありません","金額がありません")),IF(NOT(ISNUMBER(A46)),"日付がありません（月別集計に入りません）",IF(AND(ISNUMBER(F46),ISNUMBER(J46),ISNUMBER(I46)),"数量×単価を使いました（金額の欄は使っていません）","")))))))</f>
        <v/>
      </c>
      <c r="N46" s="91">
        <f>IF(AND(B46&lt;&gt;"",B46='案件カード'!$C$3),COUNTIF($B$5:B46,'案件カード'!$C$3),"")</f>
        <v/>
      </c>
      <c r="O46" s="91">
        <f>IF(ISNUMBER(K46),IF(B46="",K46,IF(AND(ISNUMBER(MATCH(B46,'案件'!$A$6:$A$105,0)),OR(D46="材料費",D46="労務費",D46="外注費",D46="経費")),0,K46)),0)</f>
        <v/>
      </c>
    </row>
    <row r="47" ht="16" customHeight="1">
      <c r="A47" s="35" t="n"/>
      <c r="B47" s="36" t="n"/>
      <c r="C47" s="37">
        <f>IF(B47="","",IFERROR(INDEX('案件'!$B$6:$B$105,MATCH(B47,'案件'!$A$6:$A$105,0))&amp;"","（案件シートに無い番号）"))</f>
        <v/>
      </c>
      <c r="D47" s="36" t="n"/>
      <c r="E47" s="38" t="n"/>
      <c r="F47" s="39" t="n"/>
      <c r="G47" s="36" t="n"/>
      <c r="H47" s="40" t="n"/>
      <c r="I47" s="40" t="n"/>
      <c r="J47" s="41">
        <f>IF(ISNUMBER(H47),H47,IF(AND(D47="労務費",TRIM(E47)&lt;&gt;""),IFERROR(INDEX('設定'!$G$12:$G$31,MATCH(TRIM(E47),'設定'!$J$12:$J$31,0)),""),""))</f>
        <v/>
      </c>
      <c r="K47" s="30">
        <f>IF(AND(ISNUMBER(F47),ISNUMBER(J47)),ROUND(F47*J47,0),IF(ISNUMBER(I47),I47,""))</f>
        <v/>
      </c>
      <c r="L47" s="33" t="n"/>
      <c r="M47" s="34">
        <f>IF(COUNTA(A47:B47,D47:I47,L47)=0,"",IF(B47="","案件番号がありません",IF(ISNA(MATCH(B47,'案件'!$A$6:$A$105,0)),"案件シートに無い番号です",IF(NOT(OR(D47="材料費",D47="労務費",D47="外注費",D47="経費")),"費目を4つから選んでください",IF(K47="",IF(AND(ISNUMBER(F47),NOT(ISNUMBER(J47))),IF(D47="労務費","単価がありません（設定の作業者名と同じ書き方に）","単価がありません"),IF(AND(ISNUMBER(J47),NOT(ISNUMBER(F47))),"数量がありません","金額がありません")),IF(NOT(ISNUMBER(A47)),"日付がありません（月別集計に入りません）",IF(AND(ISNUMBER(F47),ISNUMBER(J47),ISNUMBER(I47)),"数量×単価を使いました（金額の欄は使っていません）","")))))))</f>
        <v/>
      </c>
      <c r="N47" s="91">
        <f>IF(AND(B47&lt;&gt;"",B47='案件カード'!$C$3),COUNTIF($B$5:B47,'案件カード'!$C$3),"")</f>
        <v/>
      </c>
      <c r="O47" s="91">
        <f>IF(ISNUMBER(K47),IF(B47="",K47,IF(AND(ISNUMBER(MATCH(B47,'案件'!$A$6:$A$105,0)),OR(D47="材料費",D47="労務費",D47="外注費",D47="経費")),0,K47)),0)</f>
        <v/>
      </c>
    </row>
    <row r="48" ht="16" customHeight="1">
      <c r="A48" s="35" t="n"/>
      <c r="B48" s="36" t="n"/>
      <c r="C48" s="37">
        <f>IF(B48="","",IFERROR(INDEX('案件'!$B$6:$B$105,MATCH(B48,'案件'!$A$6:$A$105,0))&amp;"","（案件シートに無い番号）"))</f>
        <v/>
      </c>
      <c r="D48" s="36" t="n"/>
      <c r="E48" s="38" t="n"/>
      <c r="F48" s="39" t="n"/>
      <c r="G48" s="36" t="n"/>
      <c r="H48" s="40" t="n"/>
      <c r="I48" s="40" t="n"/>
      <c r="J48" s="41">
        <f>IF(ISNUMBER(H48),H48,IF(AND(D48="労務費",TRIM(E48)&lt;&gt;""),IFERROR(INDEX('設定'!$G$12:$G$31,MATCH(TRIM(E48),'設定'!$J$12:$J$31,0)),""),""))</f>
        <v/>
      </c>
      <c r="K48" s="30">
        <f>IF(AND(ISNUMBER(F48),ISNUMBER(J48)),ROUND(F48*J48,0),IF(ISNUMBER(I48),I48,""))</f>
        <v/>
      </c>
      <c r="L48" s="33" t="n"/>
      <c r="M48" s="34">
        <f>IF(COUNTA(A48:B48,D48:I48,L48)=0,"",IF(B48="","案件番号がありません",IF(ISNA(MATCH(B48,'案件'!$A$6:$A$105,0)),"案件シートに無い番号です",IF(NOT(OR(D48="材料費",D48="労務費",D48="外注費",D48="経費")),"費目を4つから選んでください",IF(K48="",IF(AND(ISNUMBER(F48),NOT(ISNUMBER(J48))),IF(D48="労務費","単価がありません（設定の作業者名と同じ書き方に）","単価がありません"),IF(AND(ISNUMBER(J48),NOT(ISNUMBER(F48))),"数量がありません","金額がありません")),IF(NOT(ISNUMBER(A48)),"日付がありません（月別集計に入りません）",IF(AND(ISNUMBER(F48),ISNUMBER(J48),ISNUMBER(I48)),"数量×単価を使いました（金額の欄は使っていません）","")))))))</f>
        <v/>
      </c>
      <c r="N48" s="91">
        <f>IF(AND(B48&lt;&gt;"",B48='案件カード'!$C$3),COUNTIF($B$5:B48,'案件カード'!$C$3),"")</f>
        <v/>
      </c>
      <c r="O48" s="91">
        <f>IF(ISNUMBER(K48),IF(B48="",K48,IF(AND(ISNUMBER(MATCH(B48,'案件'!$A$6:$A$105,0)),OR(D48="材料費",D48="労務費",D48="外注費",D48="経費")),0,K48)),0)</f>
        <v/>
      </c>
    </row>
    <row r="49" ht="16" customHeight="1">
      <c r="A49" s="35" t="n"/>
      <c r="B49" s="36" t="n"/>
      <c r="C49" s="37">
        <f>IF(B49="","",IFERROR(INDEX('案件'!$B$6:$B$105,MATCH(B49,'案件'!$A$6:$A$105,0))&amp;"","（案件シートに無い番号）"))</f>
        <v/>
      </c>
      <c r="D49" s="36" t="n"/>
      <c r="E49" s="38" t="n"/>
      <c r="F49" s="39" t="n"/>
      <c r="G49" s="36" t="n"/>
      <c r="H49" s="40" t="n"/>
      <c r="I49" s="40" t="n"/>
      <c r="J49" s="41">
        <f>IF(ISNUMBER(H49),H49,IF(AND(D49="労務費",TRIM(E49)&lt;&gt;""),IFERROR(INDEX('設定'!$G$12:$G$31,MATCH(TRIM(E49),'設定'!$J$12:$J$31,0)),""),""))</f>
        <v/>
      </c>
      <c r="K49" s="30">
        <f>IF(AND(ISNUMBER(F49),ISNUMBER(J49)),ROUND(F49*J49,0),IF(ISNUMBER(I49),I49,""))</f>
        <v/>
      </c>
      <c r="L49" s="33" t="n"/>
      <c r="M49" s="34">
        <f>IF(COUNTA(A49:B49,D49:I49,L49)=0,"",IF(B49="","案件番号がありません",IF(ISNA(MATCH(B49,'案件'!$A$6:$A$105,0)),"案件シートに無い番号です",IF(NOT(OR(D49="材料費",D49="労務費",D49="外注費",D49="経費")),"費目を4つから選んでください",IF(K49="",IF(AND(ISNUMBER(F49),NOT(ISNUMBER(J49))),IF(D49="労務費","単価がありません（設定の作業者名と同じ書き方に）","単価がありません"),IF(AND(ISNUMBER(J49),NOT(ISNUMBER(F49))),"数量がありません","金額がありません")),IF(NOT(ISNUMBER(A49)),"日付がありません（月別集計に入りません）",IF(AND(ISNUMBER(F49),ISNUMBER(J49),ISNUMBER(I49)),"数量×単価を使いました（金額の欄は使っていません）","")))))))</f>
        <v/>
      </c>
      <c r="N49" s="91">
        <f>IF(AND(B49&lt;&gt;"",B49='案件カード'!$C$3),COUNTIF($B$5:B49,'案件カード'!$C$3),"")</f>
        <v/>
      </c>
      <c r="O49" s="91">
        <f>IF(ISNUMBER(K49),IF(B49="",K49,IF(AND(ISNUMBER(MATCH(B49,'案件'!$A$6:$A$105,0)),OR(D49="材料費",D49="労務費",D49="外注費",D49="経費")),0,K49)),0)</f>
        <v/>
      </c>
    </row>
    <row r="50" ht="16" customHeight="1">
      <c r="A50" s="35" t="n"/>
      <c r="B50" s="36" t="n"/>
      <c r="C50" s="37">
        <f>IF(B50="","",IFERROR(INDEX('案件'!$B$6:$B$105,MATCH(B50,'案件'!$A$6:$A$105,0))&amp;"","（案件シートに無い番号）"))</f>
        <v/>
      </c>
      <c r="D50" s="36" t="n"/>
      <c r="E50" s="38" t="n"/>
      <c r="F50" s="39" t="n"/>
      <c r="G50" s="36" t="n"/>
      <c r="H50" s="40" t="n"/>
      <c r="I50" s="40" t="n"/>
      <c r="J50" s="41">
        <f>IF(ISNUMBER(H50),H50,IF(AND(D50="労務費",TRIM(E50)&lt;&gt;""),IFERROR(INDEX('設定'!$G$12:$G$31,MATCH(TRIM(E50),'設定'!$J$12:$J$31,0)),""),""))</f>
        <v/>
      </c>
      <c r="K50" s="30">
        <f>IF(AND(ISNUMBER(F50),ISNUMBER(J50)),ROUND(F50*J50,0),IF(ISNUMBER(I50),I50,""))</f>
        <v/>
      </c>
      <c r="L50" s="33" t="n"/>
      <c r="M50" s="34">
        <f>IF(COUNTA(A50:B50,D50:I50,L50)=0,"",IF(B50="","案件番号がありません",IF(ISNA(MATCH(B50,'案件'!$A$6:$A$105,0)),"案件シートに無い番号です",IF(NOT(OR(D50="材料費",D50="労務費",D50="外注費",D50="経費")),"費目を4つから選んでください",IF(K50="",IF(AND(ISNUMBER(F50),NOT(ISNUMBER(J50))),IF(D50="労務費","単価がありません（設定の作業者名と同じ書き方に）","単価がありません"),IF(AND(ISNUMBER(J50),NOT(ISNUMBER(F50))),"数量がありません","金額がありません")),IF(NOT(ISNUMBER(A50)),"日付がありません（月別集計に入りません）",IF(AND(ISNUMBER(F50),ISNUMBER(J50),ISNUMBER(I50)),"数量×単価を使いました（金額の欄は使っていません）","")))))))</f>
        <v/>
      </c>
      <c r="N50" s="91">
        <f>IF(AND(B50&lt;&gt;"",B50='案件カード'!$C$3),COUNTIF($B$5:B50,'案件カード'!$C$3),"")</f>
        <v/>
      </c>
      <c r="O50" s="91">
        <f>IF(ISNUMBER(K50),IF(B50="",K50,IF(AND(ISNUMBER(MATCH(B50,'案件'!$A$6:$A$105,0)),OR(D50="材料費",D50="労務費",D50="外注費",D50="経費")),0,K50)),0)</f>
        <v/>
      </c>
    </row>
    <row r="51" ht="16" customHeight="1">
      <c r="A51" s="35" t="n"/>
      <c r="B51" s="36" t="n"/>
      <c r="C51" s="37">
        <f>IF(B51="","",IFERROR(INDEX('案件'!$B$6:$B$105,MATCH(B51,'案件'!$A$6:$A$105,0))&amp;"","（案件シートに無い番号）"))</f>
        <v/>
      </c>
      <c r="D51" s="36" t="n"/>
      <c r="E51" s="38" t="n"/>
      <c r="F51" s="39" t="n"/>
      <c r="G51" s="36" t="n"/>
      <c r="H51" s="40" t="n"/>
      <c r="I51" s="40" t="n"/>
      <c r="J51" s="41">
        <f>IF(ISNUMBER(H51),H51,IF(AND(D51="労務費",TRIM(E51)&lt;&gt;""),IFERROR(INDEX('設定'!$G$12:$G$31,MATCH(TRIM(E51),'設定'!$J$12:$J$31,0)),""),""))</f>
        <v/>
      </c>
      <c r="K51" s="30">
        <f>IF(AND(ISNUMBER(F51),ISNUMBER(J51)),ROUND(F51*J51,0),IF(ISNUMBER(I51),I51,""))</f>
        <v/>
      </c>
      <c r="L51" s="33" t="n"/>
      <c r="M51" s="34">
        <f>IF(COUNTA(A51:B51,D51:I51,L51)=0,"",IF(B51="","案件番号がありません",IF(ISNA(MATCH(B51,'案件'!$A$6:$A$105,0)),"案件シートに無い番号です",IF(NOT(OR(D51="材料費",D51="労務費",D51="外注費",D51="経費")),"費目を4つから選んでください",IF(K51="",IF(AND(ISNUMBER(F51),NOT(ISNUMBER(J51))),IF(D51="労務費","単価がありません（設定の作業者名と同じ書き方に）","単価がありません"),IF(AND(ISNUMBER(J51),NOT(ISNUMBER(F51))),"数量がありません","金額がありません")),IF(NOT(ISNUMBER(A51)),"日付がありません（月別集計に入りません）",IF(AND(ISNUMBER(F51),ISNUMBER(J51),ISNUMBER(I51)),"数量×単価を使いました（金額の欄は使っていません）","")))))))</f>
        <v/>
      </c>
      <c r="N51" s="91">
        <f>IF(AND(B51&lt;&gt;"",B51='案件カード'!$C$3),COUNTIF($B$5:B51,'案件カード'!$C$3),"")</f>
        <v/>
      </c>
      <c r="O51" s="91">
        <f>IF(ISNUMBER(K51),IF(B51="",K51,IF(AND(ISNUMBER(MATCH(B51,'案件'!$A$6:$A$105,0)),OR(D51="材料費",D51="労務費",D51="外注費",D51="経費")),0,K51)),0)</f>
        <v/>
      </c>
    </row>
    <row r="52" ht="16" customHeight="1">
      <c r="A52" s="35" t="n"/>
      <c r="B52" s="36" t="n"/>
      <c r="C52" s="37">
        <f>IF(B52="","",IFERROR(INDEX('案件'!$B$6:$B$105,MATCH(B52,'案件'!$A$6:$A$105,0))&amp;"","（案件シートに無い番号）"))</f>
        <v/>
      </c>
      <c r="D52" s="36" t="n"/>
      <c r="E52" s="38" t="n"/>
      <c r="F52" s="39" t="n"/>
      <c r="G52" s="36" t="n"/>
      <c r="H52" s="40" t="n"/>
      <c r="I52" s="40" t="n"/>
      <c r="J52" s="41">
        <f>IF(ISNUMBER(H52),H52,IF(AND(D52="労務費",TRIM(E52)&lt;&gt;""),IFERROR(INDEX('設定'!$G$12:$G$31,MATCH(TRIM(E52),'設定'!$J$12:$J$31,0)),""),""))</f>
        <v/>
      </c>
      <c r="K52" s="30">
        <f>IF(AND(ISNUMBER(F52),ISNUMBER(J52)),ROUND(F52*J52,0),IF(ISNUMBER(I52),I52,""))</f>
        <v/>
      </c>
      <c r="L52" s="33" t="n"/>
      <c r="M52" s="34">
        <f>IF(COUNTA(A52:B52,D52:I52,L52)=0,"",IF(B52="","案件番号がありません",IF(ISNA(MATCH(B52,'案件'!$A$6:$A$105,0)),"案件シートに無い番号です",IF(NOT(OR(D52="材料費",D52="労務費",D52="外注費",D52="経費")),"費目を4つから選んでください",IF(K52="",IF(AND(ISNUMBER(F52),NOT(ISNUMBER(J52))),IF(D52="労務費","単価がありません（設定の作業者名と同じ書き方に）","単価がありません"),IF(AND(ISNUMBER(J52),NOT(ISNUMBER(F52))),"数量がありません","金額がありません")),IF(NOT(ISNUMBER(A52)),"日付がありません（月別集計に入りません）",IF(AND(ISNUMBER(F52),ISNUMBER(J52),ISNUMBER(I52)),"数量×単価を使いました（金額の欄は使っていません）","")))))))</f>
        <v/>
      </c>
      <c r="N52" s="91">
        <f>IF(AND(B52&lt;&gt;"",B52='案件カード'!$C$3),COUNTIF($B$5:B52,'案件カード'!$C$3),"")</f>
        <v/>
      </c>
      <c r="O52" s="91">
        <f>IF(ISNUMBER(K52),IF(B52="",K52,IF(AND(ISNUMBER(MATCH(B52,'案件'!$A$6:$A$105,0)),OR(D52="材料費",D52="労務費",D52="外注費",D52="経費")),0,K52)),0)</f>
        <v/>
      </c>
    </row>
    <row r="53" ht="16" customHeight="1">
      <c r="A53" s="35" t="n"/>
      <c r="B53" s="36" t="n"/>
      <c r="C53" s="37">
        <f>IF(B53="","",IFERROR(INDEX('案件'!$B$6:$B$105,MATCH(B53,'案件'!$A$6:$A$105,0))&amp;"","（案件シートに無い番号）"))</f>
        <v/>
      </c>
      <c r="D53" s="36" t="n"/>
      <c r="E53" s="38" t="n"/>
      <c r="F53" s="39" t="n"/>
      <c r="G53" s="36" t="n"/>
      <c r="H53" s="40" t="n"/>
      <c r="I53" s="40" t="n"/>
      <c r="J53" s="41">
        <f>IF(ISNUMBER(H53),H53,IF(AND(D53="労務費",TRIM(E53)&lt;&gt;""),IFERROR(INDEX('設定'!$G$12:$G$31,MATCH(TRIM(E53),'設定'!$J$12:$J$31,0)),""),""))</f>
        <v/>
      </c>
      <c r="K53" s="30">
        <f>IF(AND(ISNUMBER(F53),ISNUMBER(J53)),ROUND(F53*J53,0),IF(ISNUMBER(I53),I53,""))</f>
        <v/>
      </c>
      <c r="L53" s="33" t="n"/>
      <c r="M53" s="34">
        <f>IF(COUNTA(A53:B53,D53:I53,L53)=0,"",IF(B53="","案件番号がありません",IF(ISNA(MATCH(B53,'案件'!$A$6:$A$105,0)),"案件シートに無い番号です",IF(NOT(OR(D53="材料費",D53="労務費",D53="外注費",D53="経費")),"費目を4つから選んでください",IF(K53="",IF(AND(ISNUMBER(F53),NOT(ISNUMBER(J53))),IF(D53="労務費","単価がありません（設定の作業者名と同じ書き方に）","単価がありません"),IF(AND(ISNUMBER(J53),NOT(ISNUMBER(F53))),"数量がありません","金額がありません")),IF(NOT(ISNUMBER(A53)),"日付がありません（月別集計に入りません）",IF(AND(ISNUMBER(F53),ISNUMBER(J53),ISNUMBER(I53)),"数量×単価を使いました（金額の欄は使っていません）","")))))))</f>
        <v/>
      </c>
      <c r="N53" s="91">
        <f>IF(AND(B53&lt;&gt;"",B53='案件カード'!$C$3),COUNTIF($B$5:B53,'案件カード'!$C$3),"")</f>
        <v/>
      </c>
      <c r="O53" s="91">
        <f>IF(ISNUMBER(K53),IF(B53="",K53,IF(AND(ISNUMBER(MATCH(B53,'案件'!$A$6:$A$105,0)),OR(D53="材料費",D53="労務費",D53="外注費",D53="経費")),0,K53)),0)</f>
        <v/>
      </c>
    </row>
    <row r="54" ht="16" customHeight="1">
      <c r="A54" s="35" t="n"/>
      <c r="B54" s="36" t="n"/>
      <c r="C54" s="37">
        <f>IF(B54="","",IFERROR(INDEX('案件'!$B$6:$B$105,MATCH(B54,'案件'!$A$6:$A$105,0))&amp;"","（案件シートに無い番号）"))</f>
        <v/>
      </c>
      <c r="D54" s="36" t="n"/>
      <c r="E54" s="38" t="n"/>
      <c r="F54" s="39" t="n"/>
      <c r="G54" s="36" t="n"/>
      <c r="H54" s="40" t="n"/>
      <c r="I54" s="40" t="n"/>
      <c r="J54" s="41">
        <f>IF(ISNUMBER(H54),H54,IF(AND(D54="労務費",TRIM(E54)&lt;&gt;""),IFERROR(INDEX('設定'!$G$12:$G$31,MATCH(TRIM(E54),'設定'!$J$12:$J$31,0)),""),""))</f>
        <v/>
      </c>
      <c r="K54" s="30">
        <f>IF(AND(ISNUMBER(F54),ISNUMBER(J54)),ROUND(F54*J54,0),IF(ISNUMBER(I54),I54,""))</f>
        <v/>
      </c>
      <c r="L54" s="33" t="n"/>
      <c r="M54" s="34">
        <f>IF(COUNTA(A54:B54,D54:I54,L54)=0,"",IF(B54="","案件番号がありません",IF(ISNA(MATCH(B54,'案件'!$A$6:$A$105,0)),"案件シートに無い番号です",IF(NOT(OR(D54="材料費",D54="労務費",D54="外注費",D54="経費")),"費目を4つから選んでください",IF(K54="",IF(AND(ISNUMBER(F54),NOT(ISNUMBER(J54))),IF(D54="労務費","単価がありません（設定の作業者名と同じ書き方に）","単価がありません"),IF(AND(ISNUMBER(J54),NOT(ISNUMBER(F54))),"数量がありません","金額がありません")),IF(NOT(ISNUMBER(A54)),"日付がありません（月別集計に入りません）",IF(AND(ISNUMBER(F54),ISNUMBER(J54),ISNUMBER(I54)),"数量×単価を使いました（金額の欄は使っていません）","")))))))</f>
        <v/>
      </c>
      <c r="N54" s="91">
        <f>IF(AND(B54&lt;&gt;"",B54='案件カード'!$C$3),COUNTIF($B$5:B54,'案件カード'!$C$3),"")</f>
        <v/>
      </c>
      <c r="O54" s="91">
        <f>IF(ISNUMBER(K54),IF(B54="",K54,IF(AND(ISNUMBER(MATCH(B54,'案件'!$A$6:$A$105,0)),OR(D54="材料費",D54="労務費",D54="外注費",D54="経費")),0,K54)),0)</f>
        <v/>
      </c>
    </row>
    <row r="55" ht="16" customHeight="1">
      <c r="A55" s="35" t="n"/>
      <c r="B55" s="36" t="n"/>
      <c r="C55" s="37">
        <f>IF(B55="","",IFERROR(INDEX('案件'!$B$6:$B$105,MATCH(B55,'案件'!$A$6:$A$105,0))&amp;"","（案件シートに無い番号）"))</f>
        <v/>
      </c>
      <c r="D55" s="36" t="n"/>
      <c r="E55" s="38" t="n"/>
      <c r="F55" s="39" t="n"/>
      <c r="G55" s="36" t="n"/>
      <c r="H55" s="40" t="n"/>
      <c r="I55" s="40" t="n"/>
      <c r="J55" s="41">
        <f>IF(ISNUMBER(H55),H55,IF(AND(D55="労務費",TRIM(E55)&lt;&gt;""),IFERROR(INDEX('設定'!$G$12:$G$31,MATCH(TRIM(E55),'設定'!$J$12:$J$31,0)),""),""))</f>
        <v/>
      </c>
      <c r="K55" s="30">
        <f>IF(AND(ISNUMBER(F55),ISNUMBER(J55)),ROUND(F55*J55,0),IF(ISNUMBER(I55),I55,""))</f>
        <v/>
      </c>
      <c r="L55" s="33" t="n"/>
      <c r="M55" s="34">
        <f>IF(COUNTA(A55:B55,D55:I55,L55)=0,"",IF(B55="","案件番号がありません",IF(ISNA(MATCH(B55,'案件'!$A$6:$A$105,0)),"案件シートに無い番号です",IF(NOT(OR(D55="材料費",D55="労務費",D55="外注費",D55="経費")),"費目を4つから選んでください",IF(K55="",IF(AND(ISNUMBER(F55),NOT(ISNUMBER(J55))),IF(D55="労務費","単価がありません（設定の作業者名と同じ書き方に）","単価がありません"),IF(AND(ISNUMBER(J55),NOT(ISNUMBER(F55))),"数量がありません","金額がありません")),IF(NOT(ISNUMBER(A55)),"日付がありません（月別集計に入りません）",IF(AND(ISNUMBER(F55),ISNUMBER(J55),ISNUMBER(I55)),"数量×単価を使いました（金額の欄は使っていません）","")))))))</f>
        <v/>
      </c>
      <c r="N55" s="91">
        <f>IF(AND(B55&lt;&gt;"",B55='案件カード'!$C$3),COUNTIF($B$5:B55,'案件カード'!$C$3),"")</f>
        <v/>
      </c>
      <c r="O55" s="91">
        <f>IF(ISNUMBER(K55),IF(B55="",K55,IF(AND(ISNUMBER(MATCH(B55,'案件'!$A$6:$A$105,0)),OR(D55="材料費",D55="労務費",D55="外注費",D55="経費")),0,K55)),0)</f>
        <v/>
      </c>
    </row>
    <row r="56" ht="16" customHeight="1">
      <c r="A56" s="35" t="n"/>
      <c r="B56" s="36" t="n"/>
      <c r="C56" s="37">
        <f>IF(B56="","",IFERROR(INDEX('案件'!$B$6:$B$105,MATCH(B56,'案件'!$A$6:$A$105,0))&amp;"","（案件シートに無い番号）"))</f>
        <v/>
      </c>
      <c r="D56" s="36" t="n"/>
      <c r="E56" s="38" t="n"/>
      <c r="F56" s="39" t="n"/>
      <c r="G56" s="36" t="n"/>
      <c r="H56" s="40" t="n"/>
      <c r="I56" s="40" t="n"/>
      <c r="J56" s="41">
        <f>IF(ISNUMBER(H56),H56,IF(AND(D56="労務費",TRIM(E56)&lt;&gt;""),IFERROR(INDEX('設定'!$G$12:$G$31,MATCH(TRIM(E56),'設定'!$J$12:$J$31,0)),""),""))</f>
        <v/>
      </c>
      <c r="K56" s="30">
        <f>IF(AND(ISNUMBER(F56),ISNUMBER(J56)),ROUND(F56*J56,0),IF(ISNUMBER(I56),I56,""))</f>
        <v/>
      </c>
      <c r="L56" s="33" t="n"/>
      <c r="M56" s="34">
        <f>IF(COUNTA(A56:B56,D56:I56,L56)=0,"",IF(B56="","案件番号がありません",IF(ISNA(MATCH(B56,'案件'!$A$6:$A$105,0)),"案件シートに無い番号です",IF(NOT(OR(D56="材料費",D56="労務費",D56="外注費",D56="経費")),"費目を4つから選んでください",IF(K56="",IF(AND(ISNUMBER(F56),NOT(ISNUMBER(J56))),IF(D56="労務費","単価がありません（設定の作業者名と同じ書き方に）","単価がありません"),IF(AND(ISNUMBER(J56),NOT(ISNUMBER(F56))),"数量がありません","金額がありません")),IF(NOT(ISNUMBER(A56)),"日付がありません（月別集計に入りません）",IF(AND(ISNUMBER(F56),ISNUMBER(J56),ISNUMBER(I56)),"数量×単価を使いました（金額の欄は使っていません）","")))))))</f>
        <v/>
      </c>
      <c r="N56" s="91">
        <f>IF(AND(B56&lt;&gt;"",B56='案件カード'!$C$3),COUNTIF($B$5:B56,'案件カード'!$C$3),"")</f>
        <v/>
      </c>
      <c r="O56" s="91">
        <f>IF(ISNUMBER(K56),IF(B56="",K56,IF(AND(ISNUMBER(MATCH(B56,'案件'!$A$6:$A$105,0)),OR(D56="材料費",D56="労務費",D56="外注費",D56="経費")),0,K56)),0)</f>
        <v/>
      </c>
    </row>
    <row r="57" ht="16" customHeight="1">
      <c r="A57" s="35" t="n"/>
      <c r="B57" s="36" t="n"/>
      <c r="C57" s="37">
        <f>IF(B57="","",IFERROR(INDEX('案件'!$B$6:$B$105,MATCH(B57,'案件'!$A$6:$A$105,0))&amp;"","（案件シートに無い番号）"))</f>
        <v/>
      </c>
      <c r="D57" s="36" t="n"/>
      <c r="E57" s="38" t="n"/>
      <c r="F57" s="39" t="n"/>
      <c r="G57" s="36" t="n"/>
      <c r="H57" s="40" t="n"/>
      <c r="I57" s="40" t="n"/>
      <c r="J57" s="41">
        <f>IF(ISNUMBER(H57),H57,IF(AND(D57="労務費",TRIM(E57)&lt;&gt;""),IFERROR(INDEX('設定'!$G$12:$G$31,MATCH(TRIM(E57),'設定'!$J$12:$J$31,0)),""),""))</f>
        <v/>
      </c>
      <c r="K57" s="30">
        <f>IF(AND(ISNUMBER(F57),ISNUMBER(J57)),ROUND(F57*J57,0),IF(ISNUMBER(I57),I57,""))</f>
        <v/>
      </c>
      <c r="L57" s="33" t="n"/>
      <c r="M57" s="34">
        <f>IF(COUNTA(A57:B57,D57:I57,L57)=0,"",IF(B57="","案件番号がありません",IF(ISNA(MATCH(B57,'案件'!$A$6:$A$105,0)),"案件シートに無い番号です",IF(NOT(OR(D57="材料費",D57="労務費",D57="外注費",D57="経費")),"費目を4つから選んでください",IF(K57="",IF(AND(ISNUMBER(F57),NOT(ISNUMBER(J57))),IF(D57="労務費","単価がありません（設定の作業者名と同じ書き方に）","単価がありません"),IF(AND(ISNUMBER(J57),NOT(ISNUMBER(F57))),"数量がありません","金額がありません")),IF(NOT(ISNUMBER(A57)),"日付がありません（月別集計に入りません）",IF(AND(ISNUMBER(F57),ISNUMBER(J57),ISNUMBER(I57)),"数量×単価を使いました（金額の欄は使っていません）","")))))))</f>
        <v/>
      </c>
      <c r="N57" s="91">
        <f>IF(AND(B57&lt;&gt;"",B57='案件カード'!$C$3),COUNTIF($B$5:B57,'案件カード'!$C$3),"")</f>
        <v/>
      </c>
      <c r="O57" s="91">
        <f>IF(ISNUMBER(K57),IF(B57="",K57,IF(AND(ISNUMBER(MATCH(B57,'案件'!$A$6:$A$105,0)),OR(D57="材料費",D57="労務費",D57="外注費",D57="経費")),0,K57)),0)</f>
        <v/>
      </c>
    </row>
    <row r="58" ht="16" customHeight="1">
      <c r="A58" s="35" t="n"/>
      <c r="B58" s="36" t="n"/>
      <c r="C58" s="37">
        <f>IF(B58="","",IFERROR(INDEX('案件'!$B$6:$B$105,MATCH(B58,'案件'!$A$6:$A$105,0))&amp;"","（案件シートに無い番号）"))</f>
        <v/>
      </c>
      <c r="D58" s="36" t="n"/>
      <c r="E58" s="38" t="n"/>
      <c r="F58" s="39" t="n"/>
      <c r="G58" s="36" t="n"/>
      <c r="H58" s="40" t="n"/>
      <c r="I58" s="40" t="n"/>
      <c r="J58" s="41">
        <f>IF(ISNUMBER(H58),H58,IF(AND(D58="労務費",TRIM(E58)&lt;&gt;""),IFERROR(INDEX('設定'!$G$12:$G$31,MATCH(TRIM(E58),'設定'!$J$12:$J$31,0)),""),""))</f>
        <v/>
      </c>
      <c r="K58" s="30">
        <f>IF(AND(ISNUMBER(F58),ISNUMBER(J58)),ROUND(F58*J58,0),IF(ISNUMBER(I58),I58,""))</f>
        <v/>
      </c>
      <c r="L58" s="33" t="n"/>
      <c r="M58" s="34">
        <f>IF(COUNTA(A58:B58,D58:I58,L58)=0,"",IF(B58="","案件番号がありません",IF(ISNA(MATCH(B58,'案件'!$A$6:$A$105,0)),"案件シートに無い番号です",IF(NOT(OR(D58="材料費",D58="労務費",D58="外注費",D58="経費")),"費目を4つから選んでください",IF(K58="",IF(AND(ISNUMBER(F58),NOT(ISNUMBER(J58))),IF(D58="労務費","単価がありません（設定の作業者名と同じ書き方に）","単価がありません"),IF(AND(ISNUMBER(J58),NOT(ISNUMBER(F58))),"数量がありません","金額がありません")),IF(NOT(ISNUMBER(A58)),"日付がありません（月別集計に入りません）",IF(AND(ISNUMBER(F58),ISNUMBER(J58),ISNUMBER(I58)),"数量×単価を使いました（金額の欄は使っていません）","")))))))</f>
        <v/>
      </c>
      <c r="N58" s="91">
        <f>IF(AND(B58&lt;&gt;"",B58='案件カード'!$C$3),COUNTIF($B$5:B58,'案件カード'!$C$3),"")</f>
        <v/>
      </c>
      <c r="O58" s="91">
        <f>IF(ISNUMBER(K58),IF(B58="",K58,IF(AND(ISNUMBER(MATCH(B58,'案件'!$A$6:$A$105,0)),OR(D58="材料費",D58="労務費",D58="外注費",D58="経費")),0,K58)),0)</f>
        <v/>
      </c>
    </row>
    <row r="59" ht="16" customHeight="1">
      <c r="A59" s="35" t="n"/>
      <c r="B59" s="36" t="n"/>
      <c r="C59" s="37">
        <f>IF(B59="","",IFERROR(INDEX('案件'!$B$6:$B$105,MATCH(B59,'案件'!$A$6:$A$105,0))&amp;"","（案件シートに無い番号）"))</f>
        <v/>
      </c>
      <c r="D59" s="36" t="n"/>
      <c r="E59" s="38" t="n"/>
      <c r="F59" s="39" t="n"/>
      <c r="G59" s="36" t="n"/>
      <c r="H59" s="40" t="n"/>
      <c r="I59" s="40" t="n"/>
      <c r="J59" s="41">
        <f>IF(ISNUMBER(H59),H59,IF(AND(D59="労務費",TRIM(E59)&lt;&gt;""),IFERROR(INDEX('設定'!$G$12:$G$31,MATCH(TRIM(E59),'設定'!$J$12:$J$31,0)),""),""))</f>
        <v/>
      </c>
      <c r="K59" s="30">
        <f>IF(AND(ISNUMBER(F59),ISNUMBER(J59)),ROUND(F59*J59,0),IF(ISNUMBER(I59),I59,""))</f>
        <v/>
      </c>
      <c r="L59" s="33" t="n"/>
      <c r="M59" s="34">
        <f>IF(COUNTA(A59:B59,D59:I59,L59)=0,"",IF(B59="","案件番号がありません",IF(ISNA(MATCH(B59,'案件'!$A$6:$A$105,0)),"案件シートに無い番号です",IF(NOT(OR(D59="材料費",D59="労務費",D59="外注費",D59="経費")),"費目を4つから選んでください",IF(K59="",IF(AND(ISNUMBER(F59),NOT(ISNUMBER(J59))),IF(D59="労務費","単価がありません（設定の作業者名と同じ書き方に）","単価がありません"),IF(AND(ISNUMBER(J59),NOT(ISNUMBER(F59))),"数量がありません","金額がありません")),IF(NOT(ISNUMBER(A59)),"日付がありません（月別集計に入りません）",IF(AND(ISNUMBER(F59),ISNUMBER(J59),ISNUMBER(I59)),"数量×単価を使いました（金額の欄は使っていません）","")))))))</f>
        <v/>
      </c>
      <c r="N59" s="91">
        <f>IF(AND(B59&lt;&gt;"",B59='案件カード'!$C$3),COUNTIF($B$5:B59,'案件カード'!$C$3),"")</f>
        <v/>
      </c>
      <c r="O59" s="91">
        <f>IF(ISNUMBER(K59),IF(B59="",K59,IF(AND(ISNUMBER(MATCH(B59,'案件'!$A$6:$A$105,0)),OR(D59="材料費",D59="労務費",D59="外注費",D59="経費")),0,K59)),0)</f>
        <v/>
      </c>
    </row>
    <row r="60" ht="16" customHeight="1">
      <c r="A60" s="35" t="n"/>
      <c r="B60" s="36" t="n"/>
      <c r="C60" s="37">
        <f>IF(B60="","",IFERROR(INDEX('案件'!$B$6:$B$105,MATCH(B60,'案件'!$A$6:$A$105,0))&amp;"","（案件シートに無い番号）"))</f>
        <v/>
      </c>
      <c r="D60" s="36" t="n"/>
      <c r="E60" s="38" t="n"/>
      <c r="F60" s="39" t="n"/>
      <c r="G60" s="36" t="n"/>
      <c r="H60" s="40" t="n"/>
      <c r="I60" s="40" t="n"/>
      <c r="J60" s="41">
        <f>IF(ISNUMBER(H60),H60,IF(AND(D60="労務費",TRIM(E60)&lt;&gt;""),IFERROR(INDEX('設定'!$G$12:$G$31,MATCH(TRIM(E60),'設定'!$J$12:$J$31,0)),""),""))</f>
        <v/>
      </c>
      <c r="K60" s="30">
        <f>IF(AND(ISNUMBER(F60),ISNUMBER(J60)),ROUND(F60*J60,0),IF(ISNUMBER(I60),I60,""))</f>
        <v/>
      </c>
      <c r="L60" s="33" t="n"/>
      <c r="M60" s="34">
        <f>IF(COUNTA(A60:B60,D60:I60,L60)=0,"",IF(B60="","案件番号がありません",IF(ISNA(MATCH(B60,'案件'!$A$6:$A$105,0)),"案件シートに無い番号です",IF(NOT(OR(D60="材料費",D60="労務費",D60="外注費",D60="経費")),"費目を4つから選んでください",IF(K60="",IF(AND(ISNUMBER(F60),NOT(ISNUMBER(J60))),IF(D60="労務費","単価がありません（設定の作業者名と同じ書き方に）","単価がありません"),IF(AND(ISNUMBER(J60),NOT(ISNUMBER(F60))),"数量がありません","金額がありません")),IF(NOT(ISNUMBER(A60)),"日付がありません（月別集計に入りません）",IF(AND(ISNUMBER(F60),ISNUMBER(J60),ISNUMBER(I60)),"数量×単価を使いました（金額の欄は使っていません）","")))))))</f>
        <v/>
      </c>
      <c r="N60" s="91">
        <f>IF(AND(B60&lt;&gt;"",B60='案件カード'!$C$3),COUNTIF($B$5:B60,'案件カード'!$C$3),"")</f>
        <v/>
      </c>
      <c r="O60" s="91">
        <f>IF(ISNUMBER(K60),IF(B60="",K60,IF(AND(ISNUMBER(MATCH(B60,'案件'!$A$6:$A$105,0)),OR(D60="材料費",D60="労務費",D60="外注費",D60="経費")),0,K60)),0)</f>
        <v/>
      </c>
    </row>
    <row r="61" ht="16" customHeight="1">
      <c r="A61" s="35" t="n"/>
      <c r="B61" s="36" t="n"/>
      <c r="C61" s="37">
        <f>IF(B61="","",IFERROR(INDEX('案件'!$B$6:$B$105,MATCH(B61,'案件'!$A$6:$A$105,0))&amp;"","（案件シートに無い番号）"))</f>
        <v/>
      </c>
      <c r="D61" s="36" t="n"/>
      <c r="E61" s="38" t="n"/>
      <c r="F61" s="39" t="n"/>
      <c r="G61" s="36" t="n"/>
      <c r="H61" s="40" t="n"/>
      <c r="I61" s="40" t="n"/>
      <c r="J61" s="41">
        <f>IF(ISNUMBER(H61),H61,IF(AND(D61="労務費",TRIM(E61)&lt;&gt;""),IFERROR(INDEX('設定'!$G$12:$G$31,MATCH(TRIM(E61),'設定'!$J$12:$J$31,0)),""),""))</f>
        <v/>
      </c>
      <c r="K61" s="30">
        <f>IF(AND(ISNUMBER(F61),ISNUMBER(J61)),ROUND(F61*J61,0),IF(ISNUMBER(I61),I61,""))</f>
        <v/>
      </c>
      <c r="L61" s="33" t="n"/>
      <c r="M61" s="34">
        <f>IF(COUNTA(A61:B61,D61:I61,L61)=0,"",IF(B61="","案件番号がありません",IF(ISNA(MATCH(B61,'案件'!$A$6:$A$105,0)),"案件シートに無い番号です",IF(NOT(OR(D61="材料費",D61="労務費",D61="外注費",D61="経費")),"費目を4つから選んでください",IF(K61="",IF(AND(ISNUMBER(F61),NOT(ISNUMBER(J61))),IF(D61="労務費","単価がありません（設定の作業者名と同じ書き方に）","単価がありません"),IF(AND(ISNUMBER(J61),NOT(ISNUMBER(F61))),"数量がありません","金額がありません")),IF(NOT(ISNUMBER(A61)),"日付がありません（月別集計に入りません）",IF(AND(ISNUMBER(F61),ISNUMBER(J61),ISNUMBER(I61)),"数量×単価を使いました（金額の欄は使っていません）","")))))))</f>
        <v/>
      </c>
      <c r="N61" s="91">
        <f>IF(AND(B61&lt;&gt;"",B61='案件カード'!$C$3),COUNTIF($B$5:B61,'案件カード'!$C$3),"")</f>
        <v/>
      </c>
      <c r="O61" s="91">
        <f>IF(ISNUMBER(K61),IF(B61="",K61,IF(AND(ISNUMBER(MATCH(B61,'案件'!$A$6:$A$105,0)),OR(D61="材料費",D61="労務費",D61="外注費",D61="経費")),0,K61)),0)</f>
        <v/>
      </c>
    </row>
    <row r="62" ht="16" customHeight="1">
      <c r="A62" s="35" t="n"/>
      <c r="B62" s="36" t="n"/>
      <c r="C62" s="37">
        <f>IF(B62="","",IFERROR(INDEX('案件'!$B$6:$B$105,MATCH(B62,'案件'!$A$6:$A$105,0))&amp;"","（案件シートに無い番号）"))</f>
        <v/>
      </c>
      <c r="D62" s="36" t="n"/>
      <c r="E62" s="38" t="n"/>
      <c r="F62" s="39" t="n"/>
      <c r="G62" s="36" t="n"/>
      <c r="H62" s="40" t="n"/>
      <c r="I62" s="40" t="n"/>
      <c r="J62" s="41">
        <f>IF(ISNUMBER(H62),H62,IF(AND(D62="労務費",TRIM(E62)&lt;&gt;""),IFERROR(INDEX('設定'!$G$12:$G$31,MATCH(TRIM(E62),'設定'!$J$12:$J$31,0)),""),""))</f>
        <v/>
      </c>
      <c r="K62" s="30">
        <f>IF(AND(ISNUMBER(F62),ISNUMBER(J62)),ROUND(F62*J62,0),IF(ISNUMBER(I62),I62,""))</f>
        <v/>
      </c>
      <c r="L62" s="33" t="n"/>
      <c r="M62" s="34">
        <f>IF(COUNTA(A62:B62,D62:I62,L62)=0,"",IF(B62="","案件番号がありません",IF(ISNA(MATCH(B62,'案件'!$A$6:$A$105,0)),"案件シートに無い番号です",IF(NOT(OR(D62="材料費",D62="労務費",D62="外注費",D62="経費")),"費目を4つから選んでください",IF(K62="",IF(AND(ISNUMBER(F62),NOT(ISNUMBER(J62))),IF(D62="労務費","単価がありません（設定の作業者名と同じ書き方に）","単価がありません"),IF(AND(ISNUMBER(J62),NOT(ISNUMBER(F62))),"数量がありません","金額がありません")),IF(NOT(ISNUMBER(A62)),"日付がありません（月別集計に入りません）",IF(AND(ISNUMBER(F62),ISNUMBER(J62),ISNUMBER(I62)),"数量×単価を使いました（金額の欄は使っていません）","")))))))</f>
        <v/>
      </c>
      <c r="N62" s="91">
        <f>IF(AND(B62&lt;&gt;"",B62='案件カード'!$C$3),COUNTIF($B$5:B62,'案件カード'!$C$3),"")</f>
        <v/>
      </c>
      <c r="O62" s="91">
        <f>IF(ISNUMBER(K62),IF(B62="",K62,IF(AND(ISNUMBER(MATCH(B62,'案件'!$A$6:$A$105,0)),OR(D62="材料費",D62="労務費",D62="外注費",D62="経費")),0,K62)),0)</f>
        <v/>
      </c>
    </row>
    <row r="63" ht="16" customHeight="1">
      <c r="A63" s="35" t="n"/>
      <c r="B63" s="36" t="n"/>
      <c r="C63" s="37">
        <f>IF(B63="","",IFERROR(INDEX('案件'!$B$6:$B$105,MATCH(B63,'案件'!$A$6:$A$105,0))&amp;"","（案件シートに無い番号）"))</f>
        <v/>
      </c>
      <c r="D63" s="36" t="n"/>
      <c r="E63" s="38" t="n"/>
      <c r="F63" s="39" t="n"/>
      <c r="G63" s="36" t="n"/>
      <c r="H63" s="40" t="n"/>
      <c r="I63" s="40" t="n"/>
      <c r="J63" s="41">
        <f>IF(ISNUMBER(H63),H63,IF(AND(D63="労務費",TRIM(E63)&lt;&gt;""),IFERROR(INDEX('設定'!$G$12:$G$31,MATCH(TRIM(E63),'設定'!$J$12:$J$31,0)),""),""))</f>
        <v/>
      </c>
      <c r="K63" s="30">
        <f>IF(AND(ISNUMBER(F63),ISNUMBER(J63)),ROUND(F63*J63,0),IF(ISNUMBER(I63),I63,""))</f>
        <v/>
      </c>
      <c r="L63" s="33" t="n"/>
      <c r="M63" s="34">
        <f>IF(COUNTA(A63:B63,D63:I63,L63)=0,"",IF(B63="","案件番号がありません",IF(ISNA(MATCH(B63,'案件'!$A$6:$A$105,0)),"案件シートに無い番号です",IF(NOT(OR(D63="材料費",D63="労務費",D63="外注費",D63="経費")),"費目を4つから選んでください",IF(K63="",IF(AND(ISNUMBER(F63),NOT(ISNUMBER(J63))),IF(D63="労務費","単価がありません（設定の作業者名と同じ書き方に）","単価がありません"),IF(AND(ISNUMBER(J63),NOT(ISNUMBER(F63))),"数量がありません","金額がありません")),IF(NOT(ISNUMBER(A63)),"日付がありません（月別集計に入りません）",IF(AND(ISNUMBER(F63),ISNUMBER(J63),ISNUMBER(I63)),"数量×単価を使いました（金額の欄は使っていません）","")))))))</f>
        <v/>
      </c>
      <c r="N63" s="91">
        <f>IF(AND(B63&lt;&gt;"",B63='案件カード'!$C$3),COUNTIF($B$5:B63,'案件カード'!$C$3),"")</f>
        <v/>
      </c>
      <c r="O63" s="91">
        <f>IF(ISNUMBER(K63),IF(B63="",K63,IF(AND(ISNUMBER(MATCH(B63,'案件'!$A$6:$A$105,0)),OR(D63="材料費",D63="労務費",D63="外注費",D63="経費")),0,K63)),0)</f>
        <v/>
      </c>
    </row>
    <row r="64" ht="16" customHeight="1">
      <c r="A64" s="35" t="n"/>
      <c r="B64" s="36" t="n"/>
      <c r="C64" s="37">
        <f>IF(B64="","",IFERROR(INDEX('案件'!$B$6:$B$105,MATCH(B64,'案件'!$A$6:$A$105,0))&amp;"","（案件シートに無い番号）"))</f>
        <v/>
      </c>
      <c r="D64" s="36" t="n"/>
      <c r="E64" s="38" t="n"/>
      <c r="F64" s="39" t="n"/>
      <c r="G64" s="36" t="n"/>
      <c r="H64" s="40" t="n"/>
      <c r="I64" s="40" t="n"/>
      <c r="J64" s="41">
        <f>IF(ISNUMBER(H64),H64,IF(AND(D64="労務費",TRIM(E64)&lt;&gt;""),IFERROR(INDEX('設定'!$G$12:$G$31,MATCH(TRIM(E64),'設定'!$J$12:$J$31,0)),""),""))</f>
        <v/>
      </c>
      <c r="K64" s="30">
        <f>IF(AND(ISNUMBER(F64),ISNUMBER(J64)),ROUND(F64*J64,0),IF(ISNUMBER(I64),I64,""))</f>
        <v/>
      </c>
      <c r="L64" s="33" t="n"/>
      <c r="M64" s="34">
        <f>IF(COUNTA(A64:B64,D64:I64,L64)=0,"",IF(B64="","案件番号がありません",IF(ISNA(MATCH(B64,'案件'!$A$6:$A$105,0)),"案件シートに無い番号です",IF(NOT(OR(D64="材料費",D64="労務費",D64="外注費",D64="経費")),"費目を4つから選んでください",IF(K64="",IF(AND(ISNUMBER(F64),NOT(ISNUMBER(J64))),IF(D64="労務費","単価がありません（設定の作業者名と同じ書き方に）","単価がありません"),IF(AND(ISNUMBER(J64),NOT(ISNUMBER(F64))),"数量がありません","金額がありません")),IF(NOT(ISNUMBER(A64)),"日付がありません（月別集計に入りません）",IF(AND(ISNUMBER(F64),ISNUMBER(J64),ISNUMBER(I64)),"数量×単価を使いました（金額の欄は使っていません）","")))))))</f>
        <v/>
      </c>
      <c r="N64" s="91">
        <f>IF(AND(B64&lt;&gt;"",B64='案件カード'!$C$3),COUNTIF($B$5:B64,'案件カード'!$C$3),"")</f>
        <v/>
      </c>
      <c r="O64" s="91">
        <f>IF(ISNUMBER(K64),IF(B64="",K64,IF(AND(ISNUMBER(MATCH(B64,'案件'!$A$6:$A$105,0)),OR(D64="材料費",D64="労務費",D64="外注費",D64="経費")),0,K64)),0)</f>
        <v/>
      </c>
    </row>
    <row r="65" ht="16" customHeight="1">
      <c r="A65" s="35" t="n"/>
      <c r="B65" s="36" t="n"/>
      <c r="C65" s="37">
        <f>IF(B65="","",IFERROR(INDEX('案件'!$B$6:$B$105,MATCH(B65,'案件'!$A$6:$A$105,0))&amp;"","（案件シートに無い番号）"))</f>
        <v/>
      </c>
      <c r="D65" s="36" t="n"/>
      <c r="E65" s="38" t="n"/>
      <c r="F65" s="39" t="n"/>
      <c r="G65" s="36" t="n"/>
      <c r="H65" s="40" t="n"/>
      <c r="I65" s="40" t="n"/>
      <c r="J65" s="41">
        <f>IF(ISNUMBER(H65),H65,IF(AND(D65="労務費",TRIM(E65)&lt;&gt;""),IFERROR(INDEX('設定'!$G$12:$G$31,MATCH(TRIM(E65),'設定'!$J$12:$J$31,0)),""),""))</f>
        <v/>
      </c>
      <c r="K65" s="30">
        <f>IF(AND(ISNUMBER(F65),ISNUMBER(J65)),ROUND(F65*J65,0),IF(ISNUMBER(I65),I65,""))</f>
        <v/>
      </c>
      <c r="L65" s="33" t="n"/>
      <c r="M65" s="34">
        <f>IF(COUNTA(A65:B65,D65:I65,L65)=0,"",IF(B65="","案件番号がありません",IF(ISNA(MATCH(B65,'案件'!$A$6:$A$105,0)),"案件シートに無い番号です",IF(NOT(OR(D65="材料費",D65="労務費",D65="外注費",D65="経費")),"費目を4つから選んでください",IF(K65="",IF(AND(ISNUMBER(F65),NOT(ISNUMBER(J65))),IF(D65="労務費","単価がありません（設定の作業者名と同じ書き方に）","単価がありません"),IF(AND(ISNUMBER(J65),NOT(ISNUMBER(F65))),"数量がありません","金額がありません")),IF(NOT(ISNUMBER(A65)),"日付がありません（月別集計に入りません）",IF(AND(ISNUMBER(F65),ISNUMBER(J65),ISNUMBER(I65)),"数量×単価を使いました（金額の欄は使っていません）","")))))))</f>
        <v/>
      </c>
      <c r="N65" s="91">
        <f>IF(AND(B65&lt;&gt;"",B65='案件カード'!$C$3),COUNTIF($B$5:B65,'案件カード'!$C$3),"")</f>
        <v/>
      </c>
      <c r="O65" s="91">
        <f>IF(ISNUMBER(K65),IF(B65="",K65,IF(AND(ISNUMBER(MATCH(B65,'案件'!$A$6:$A$105,0)),OR(D65="材料費",D65="労務費",D65="外注費",D65="経費")),0,K65)),0)</f>
        <v/>
      </c>
    </row>
    <row r="66" ht="16" customHeight="1">
      <c r="A66" s="35" t="n"/>
      <c r="B66" s="36" t="n"/>
      <c r="C66" s="37">
        <f>IF(B66="","",IFERROR(INDEX('案件'!$B$6:$B$105,MATCH(B66,'案件'!$A$6:$A$105,0))&amp;"","（案件シートに無い番号）"))</f>
        <v/>
      </c>
      <c r="D66" s="36" t="n"/>
      <c r="E66" s="38" t="n"/>
      <c r="F66" s="39" t="n"/>
      <c r="G66" s="36" t="n"/>
      <c r="H66" s="40" t="n"/>
      <c r="I66" s="40" t="n"/>
      <c r="J66" s="41">
        <f>IF(ISNUMBER(H66),H66,IF(AND(D66="労務費",TRIM(E66)&lt;&gt;""),IFERROR(INDEX('設定'!$G$12:$G$31,MATCH(TRIM(E66),'設定'!$J$12:$J$31,0)),""),""))</f>
        <v/>
      </c>
      <c r="K66" s="30">
        <f>IF(AND(ISNUMBER(F66),ISNUMBER(J66)),ROUND(F66*J66,0),IF(ISNUMBER(I66),I66,""))</f>
        <v/>
      </c>
      <c r="L66" s="33" t="n"/>
      <c r="M66" s="34">
        <f>IF(COUNTA(A66:B66,D66:I66,L66)=0,"",IF(B66="","案件番号がありません",IF(ISNA(MATCH(B66,'案件'!$A$6:$A$105,0)),"案件シートに無い番号です",IF(NOT(OR(D66="材料費",D66="労務費",D66="外注費",D66="経費")),"費目を4つから選んでください",IF(K66="",IF(AND(ISNUMBER(F66),NOT(ISNUMBER(J66))),IF(D66="労務費","単価がありません（設定の作業者名と同じ書き方に）","単価がありません"),IF(AND(ISNUMBER(J66),NOT(ISNUMBER(F66))),"数量がありません","金額がありません")),IF(NOT(ISNUMBER(A66)),"日付がありません（月別集計に入りません）",IF(AND(ISNUMBER(F66),ISNUMBER(J66),ISNUMBER(I66)),"数量×単価を使いました（金額の欄は使っていません）","")))))))</f>
        <v/>
      </c>
      <c r="N66" s="91">
        <f>IF(AND(B66&lt;&gt;"",B66='案件カード'!$C$3),COUNTIF($B$5:B66,'案件カード'!$C$3),"")</f>
        <v/>
      </c>
      <c r="O66" s="91">
        <f>IF(ISNUMBER(K66),IF(B66="",K66,IF(AND(ISNUMBER(MATCH(B66,'案件'!$A$6:$A$105,0)),OR(D66="材料費",D66="労務費",D66="外注費",D66="経費")),0,K66)),0)</f>
        <v/>
      </c>
    </row>
    <row r="67" ht="16" customHeight="1">
      <c r="A67" s="35" t="n"/>
      <c r="B67" s="36" t="n"/>
      <c r="C67" s="37">
        <f>IF(B67="","",IFERROR(INDEX('案件'!$B$6:$B$105,MATCH(B67,'案件'!$A$6:$A$105,0))&amp;"","（案件シートに無い番号）"))</f>
        <v/>
      </c>
      <c r="D67" s="36" t="n"/>
      <c r="E67" s="38" t="n"/>
      <c r="F67" s="39" t="n"/>
      <c r="G67" s="36" t="n"/>
      <c r="H67" s="40" t="n"/>
      <c r="I67" s="40" t="n"/>
      <c r="J67" s="41">
        <f>IF(ISNUMBER(H67),H67,IF(AND(D67="労務費",TRIM(E67)&lt;&gt;""),IFERROR(INDEX('設定'!$G$12:$G$31,MATCH(TRIM(E67),'設定'!$J$12:$J$31,0)),""),""))</f>
        <v/>
      </c>
      <c r="K67" s="30">
        <f>IF(AND(ISNUMBER(F67),ISNUMBER(J67)),ROUND(F67*J67,0),IF(ISNUMBER(I67),I67,""))</f>
        <v/>
      </c>
      <c r="L67" s="33" t="n"/>
      <c r="M67" s="34">
        <f>IF(COUNTA(A67:B67,D67:I67,L67)=0,"",IF(B67="","案件番号がありません",IF(ISNA(MATCH(B67,'案件'!$A$6:$A$105,0)),"案件シートに無い番号です",IF(NOT(OR(D67="材料費",D67="労務費",D67="外注費",D67="経費")),"費目を4つから選んでください",IF(K67="",IF(AND(ISNUMBER(F67),NOT(ISNUMBER(J67))),IF(D67="労務費","単価がありません（設定の作業者名と同じ書き方に）","単価がありません"),IF(AND(ISNUMBER(J67),NOT(ISNUMBER(F67))),"数量がありません","金額がありません")),IF(NOT(ISNUMBER(A67)),"日付がありません（月別集計に入りません）",IF(AND(ISNUMBER(F67),ISNUMBER(J67),ISNUMBER(I67)),"数量×単価を使いました（金額の欄は使っていません）","")))))))</f>
        <v/>
      </c>
      <c r="N67" s="91">
        <f>IF(AND(B67&lt;&gt;"",B67='案件カード'!$C$3),COUNTIF($B$5:B67,'案件カード'!$C$3),"")</f>
        <v/>
      </c>
      <c r="O67" s="91">
        <f>IF(ISNUMBER(K67),IF(B67="",K67,IF(AND(ISNUMBER(MATCH(B67,'案件'!$A$6:$A$105,0)),OR(D67="材料費",D67="労務費",D67="外注費",D67="経費")),0,K67)),0)</f>
        <v/>
      </c>
    </row>
    <row r="68" ht="16" customHeight="1">
      <c r="A68" s="35" t="n"/>
      <c r="B68" s="36" t="n"/>
      <c r="C68" s="37">
        <f>IF(B68="","",IFERROR(INDEX('案件'!$B$6:$B$105,MATCH(B68,'案件'!$A$6:$A$105,0))&amp;"","（案件シートに無い番号）"))</f>
        <v/>
      </c>
      <c r="D68" s="36" t="n"/>
      <c r="E68" s="38" t="n"/>
      <c r="F68" s="39" t="n"/>
      <c r="G68" s="36" t="n"/>
      <c r="H68" s="40" t="n"/>
      <c r="I68" s="40" t="n"/>
      <c r="J68" s="41">
        <f>IF(ISNUMBER(H68),H68,IF(AND(D68="労務費",TRIM(E68)&lt;&gt;""),IFERROR(INDEX('設定'!$G$12:$G$31,MATCH(TRIM(E68),'設定'!$J$12:$J$31,0)),""),""))</f>
        <v/>
      </c>
      <c r="K68" s="30">
        <f>IF(AND(ISNUMBER(F68),ISNUMBER(J68)),ROUND(F68*J68,0),IF(ISNUMBER(I68),I68,""))</f>
        <v/>
      </c>
      <c r="L68" s="33" t="n"/>
      <c r="M68" s="34">
        <f>IF(COUNTA(A68:B68,D68:I68,L68)=0,"",IF(B68="","案件番号がありません",IF(ISNA(MATCH(B68,'案件'!$A$6:$A$105,0)),"案件シートに無い番号です",IF(NOT(OR(D68="材料費",D68="労務費",D68="外注費",D68="経費")),"費目を4つから選んでください",IF(K68="",IF(AND(ISNUMBER(F68),NOT(ISNUMBER(J68))),IF(D68="労務費","単価がありません（設定の作業者名と同じ書き方に）","単価がありません"),IF(AND(ISNUMBER(J68),NOT(ISNUMBER(F68))),"数量がありません","金額がありません")),IF(NOT(ISNUMBER(A68)),"日付がありません（月別集計に入りません）",IF(AND(ISNUMBER(F68),ISNUMBER(J68),ISNUMBER(I68)),"数量×単価を使いました（金額の欄は使っていません）","")))))))</f>
        <v/>
      </c>
      <c r="N68" s="91">
        <f>IF(AND(B68&lt;&gt;"",B68='案件カード'!$C$3),COUNTIF($B$5:B68,'案件カード'!$C$3),"")</f>
        <v/>
      </c>
      <c r="O68" s="91">
        <f>IF(ISNUMBER(K68),IF(B68="",K68,IF(AND(ISNUMBER(MATCH(B68,'案件'!$A$6:$A$105,0)),OR(D68="材料費",D68="労務費",D68="外注費",D68="経費")),0,K68)),0)</f>
        <v/>
      </c>
    </row>
    <row r="69" ht="16" customHeight="1">
      <c r="A69" s="35" t="n"/>
      <c r="B69" s="36" t="n"/>
      <c r="C69" s="37">
        <f>IF(B69="","",IFERROR(INDEX('案件'!$B$6:$B$105,MATCH(B69,'案件'!$A$6:$A$105,0))&amp;"","（案件シートに無い番号）"))</f>
        <v/>
      </c>
      <c r="D69" s="36" t="n"/>
      <c r="E69" s="38" t="n"/>
      <c r="F69" s="39" t="n"/>
      <c r="G69" s="36" t="n"/>
      <c r="H69" s="40" t="n"/>
      <c r="I69" s="40" t="n"/>
      <c r="J69" s="41">
        <f>IF(ISNUMBER(H69),H69,IF(AND(D69="労務費",TRIM(E69)&lt;&gt;""),IFERROR(INDEX('設定'!$G$12:$G$31,MATCH(TRIM(E69),'設定'!$J$12:$J$31,0)),""),""))</f>
        <v/>
      </c>
      <c r="K69" s="30">
        <f>IF(AND(ISNUMBER(F69),ISNUMBER(J69)),ROUND(F69*J69,0),IF(ISNUMBER(I69),I69,""))</f>
        <v/>
      </c>
      <c r="L69" s="33" t="n"/>
      <c r="M69" s="34">
        <f>IF(COUNTA(A69:B69,D69:I69,L69)=0,"",IF(B69="","案件番号がありません",IF(ISNA(MATCH(B69,'案件'!$A$6:$A$105,0)),"案件シートに無い番号です",IF(NOT(OR(D69="材料費",D69="労務費",D69="外注費",D69="経費")),"費目を4つから選んでください",IF(K69="",IF(AND(ISNUMBER(F69),NOT(ISNUMBER(J69))),IF(D69="労務費","単価がありません（設定の作業者名と同じ書き方に）","単価がありません"),IF(AND(ISNUMBER(J69),NOT(ISNUMBER(F69))),"数量がありません","金額がありません")),IF(NOT(ISNUMBER(A69)),"日付がありません（月別集計に入りません）",IF(AND(ISNUMBER(F69),ISNUMBER(J69),ISNUMBER(I69)),"数量×単価を使いました（金額の欄は使っていません）","")))))))</f>
        <v/>
      </c>
      <c r="N69" s="91">
        <f>IF(AND(B69&lt;&gt;"",B69='案件カード'!$C$3),COUNTIF($B$5:B69,'案件カード'!$C$3),"")</f>
        <v/>
      </c>
      <c r="O69" s="91">
        <f>IF(ISNUMBER(K69),IF(B69="",K69,IF(AND(ISNUMBER(MATCH(B69,'案件'!$A$6:$A$105,0)),OR(D69="材料費",D69="労務費",D69="外注費",D69="経費")),0,K69)),0)</f>
        <v/>
      </c>
    </row>
    <row r="70" ht="16" customHeight="1">
      <c r="A70" s="35" t="n"/>
      <c r="B70" s="36" t="n"/>
      <c r="C70" s="37">
        <f>IF(B70="","",IFERROR(INDEX('案件'!$B$6:$B$105,MATCH(B70,'案件'!$A$6:$A$105,0))&amp;"","（案件シートに無い番号）"))</f>
        <v/>
      </c>
      <c r="D70" s="36" t="n"/>
      <c r="E70" s="38" t="n"/>
      <c r="F70" s="39" t="n"/>
      <c r="G70" s="36" t="n"/>
      <c r="H70" s="40" t="n"/>
      <c r="I70" s="40" t="n"/>
      <c r="J70" s="41">
        <f>IF(ISNUMBER(H70),H70,IF(AND(D70="労務費",TRIM(E70)&lt;&gt;""),IFERROR(INDEX('設定'!$G$12:$G$31,MATCH(TRIM(E70),'設定'!$J$12:$J$31,0)),""),""))</f>
        <v/>
      </c>
      <c r="K70" s="30">
        <f>IF(AND(ISNUMBER(F70),ISNUMBER(J70)),ROUND(F70*J70,0),IF(ISNUMBER(I70),I70,""))</f>
        <v/>
      </c>
      <c r="L70" s="33" t="n"/>
      <c r="M70" s="34">
        <f>IF(COUNTA(A70:B70,D70:I70,L70)=0,"",IF(B70="","案件番号がありません",IF(ISNA(MATCH(B70,'案件'!$A$6:$A$105,0)),"案件シートに無い番号です",IF(NOT(OR(D70="材料費",D70="労務費",D70="外注費",D70="経費")),"費目を4つから選んでください",IF(K70="",IF(AND(ISNUMBER(F70),NOT(ISNUMBER(J70))),IF(D70="労務費","単価がありません（設定の作業者名と同じ書き方に）","単価がありません"),IF(AND(ISNUMBER(J70),NOT(ISNUMBER(F70))),"数量がありません","金額がありません")),IF(NOT(ISNUMBER(A70)),"日付がありません（月別集計に入りません）",IF(AND(ISNUMBER(F70),ISNUMBER(J70),ISNUMBER(I70)),"数量×単価を使いました（金額の欄は使っていません）","")))))))</f>
        <v/>
      </c>
      <c r="N70" s="91">
        <f>IF(AND(B70&lt;&gt;"",B70='案件カード'!$C$3),COUNTIF($B$5:B70,'案件カード'!$C$3),"")</f>
        <v/>
      </c>
      <c r="O70" s="91">
        <f>IF(ISNUMBER(K70),IF(B70="",K70,IF(AND(ISNUMBER(MATCH(B70,'案件'!$A$6:$A$105,0)),OR(D70="材料費",D70="労務費",D70="外注費",D70="経費")),0,K70)),0)</f>
        <v/>
      </c>
    </row>
    <row r="71" ht="16" customHeight="1">
      <c r="A71" s="35" t="n"/>
      <c r="B71" s="36" t="n"/>
      <c r="C71" s="37">
        <f>IF(B71="","",IFERROR(INDEX('案件'!$B$6:$B$105,MATCH(B71,'案件'!$A$6:$A$105,0))&amp;"","（案件シートに無い番号）"))</f>
        <v/>
      </c>
      <c r="D71" s="36" t="n"/>
      <c r="E71" s="38" t="n"/>
      <c r="F71" s="39" t="n"/>
      <c r="G71" s="36" t="n"/>
      <c r="H71" s="40" t="n"/>
      <c r="I71" s="40" t="n"/>
      <c r="J71" s="41">
        <f>IF(ISNUMBER(H71),H71,IF(AND(D71="労務費",TRIM(E71)&lt;&gt;""),IFERROR(INDEX('設定'!$G$12:$G$31,MATCH(TRIM(E71),'設定'!$J$12:$J$31,0)),""),""))</f>
        <v/>
      </c>
      <c r="K71" s="30">
        <f>IF(AND(ISNUMBER(F71),ISNUMBER(J71)),ROUND(F71*J71,0),IF(ISNUMBER(I71),I71,""))</f>
        <v/>
      </c>
      <c r="L71" s="33" t="n"/>
      <c r="M71" s="34">
        <f>IF(COUNTA(A71:B71,D71:I71,L71)=0,"",IF(B71="","案件番号がありません",IF(ISNA(MATCH(B71,'案件'!$A$6:$A$105,0)),"案件シートに無い番号です",IF(NOT(OR(D71="材料費",D71="労務費",D71="外注費",D71="経費")),"費目を4つから選んでください",IF(K71="",IF(AND(ISNUMBER(F71),NOT(ISNUMBER(J71))),IF(D71="労務費","単価がありません（設定の作業者名と同じ書き方に）","単価がありません"),IF(AND(ISNUMBER(J71),NOT(ISNUMBER(F71))),"数量がありません","金額がありません")),IF(NOT(ISNUMBER(A71)),"日付がありません（月別集計に入りません）",IF(AND(ISNUMBER(F71),ISNUMBER(J71),ISNUMBER(I71)),"数量×単価を使いました（金額の欄は使っていません）","")))))))</f>
        <v/>
      </c>
      <c r="N71" s="91">
        <f>IF(AND(B71&lt;&gt;"",B71='案件カード'!$C$3),COUNTIF($B$5:B71,'案件カード'!$C$3),"")</f>
        <v/>
      </c>
      <c r="O71" s="91">
        <f>IF(ISNUMBER(K71),IF(B71="",K71,IF(AND(ISNUMBER(MATCH(B71,'案件'!$A$6:$A$105,0)),OR(D71="材料費",D71="労務費",D71="外注費",D71="経費")),0,K71)),0)</f>
        <v/>
      </c>
    </row>
    <row r="72" ht="16" customHeight="1">
      <c r="A72" s="35" t="n"/>
      <c r="B72" s="36" t="n"/>
      <c r="C72" s="37">
        <f>IF(B72="","",IFERROR(INDEX('案件'!$B$6:$B$105,MATCH(B72,'案件'!$A$6:$A$105,0))&amp;"","（案件シートに無い番号）"))</f>
        <v/>
      </c>
      <c r="D72" s="36" t="n"/>
      <c r="E72" s="38" t="n"/>
      <c r="F72" s="39" t="n"/>
      <c r="G72" s="36" t="n"/>
      <c r="H72" s="40" t="n"/>
      <c r="I72" s="40" t="n"/>
      <c r="J72" s="41">
        <f>IF(ISNUMBER(H72),H72,IF(AND(D72="労務費",TRIM(E72)&lt;&gt;""),IFERROR(INDEX('設定'!$G$12:$G$31,MATCH(TRIM(E72),'設定'!$J$12:$J$31,0)),""),""))</f>
        <v/>
      </c>
      <c r="K72" s="30">
        <f>IF(AND(ISNUMBER(F72),ISNUMBER(J72)),ROUND(F72*J72,0),IF(ISNUMBER(I72),I72,""))</f>
        <v/>
      </c>
      <c r="L72" s="33" t="n"/>
      <c r="M72" s="34">
        <f>IF(COUNTA(A72:B72,D72:I72,L72)=0,"",IF(B72="","案件番号がありません",IF(ISNA(MATCH(B72,'案件'!$A$6:$A$105,0)),"案件シートに無い番号です",IF(NOT(OR(D72="材料費",D72="労務費",D72="外注費",D72="経費")),"費目を4つから選んでください",IF(K72="",IF(AND(ISNUMBER(F72),NOT(ISNUMBER(J72))),IF(D72="労務費","単価がありません（設定の作業者名と同じ書き方に）","単価がありません"),IF(AND(ISNUMBER(J72),NOT(ISNUMBER(F72))),"数量がありません","金額がありません")),IF(NOT(ISNUMBER(A72)),"日付がありません（月別集計に入りません）",IF(AND(ISNUMBER(F72),ISNUMBER(J72),ISNUMBER(I72)),"数量×単価を使いました（金額の欄は使っていません）","")))))))</f>
        <v/>
      </c>
      <c r="N72" s="91">
        <f>IF(AND(B72&lt;&gt;"",B72='案件カード'!$C$3),COUNTIF($B$5:B72,'案件カード'!$C$3),"")</f>
        <v/>
      </c>
      <c r="O72" s="91">
        <f>IF(ISNUMBER(K72),IF(B72="",K72,IF(AND(ISNUMBER(MATCH(B72,'案件'!$A$6:$A$105,0)),OR(D72="材料費",D72="労務費",D72="外注費",D72="経費")),0,K72)),0)</f>
        <v/>
      </c>
    </row>
    <row r="73" ht="16" customHeight="1">
      <c r="A73" s="35" t="n"/>
      <c r="B73" s="36" t="n"/>
      <c r="C73" s="37">
        <f>IF(B73="","",IFERROR(INDEX('案件'!$B$6:$B$105,MATCH(B73,'案件'!$A$6:$A$105,0))&amp;"","（案件シートに無い番号）"))</f>
        <v/>
      </c>
      <c r="D73" s="36" t="n"/>
      <c r="E73" s="38" t="n"/>
      <c r="F73" s="39" t="n"/>
      <c r="G73" s="36" t="n"/>
      <c r="H73" s="40" t="n"/>
      <c r="I73" s="40" t="n"/>
      <c r="J73" s="41">
        <f>IF(ISNUMBER(H73),H73,IF(AND(D73="労務費",TRIM(E73)&lt;&gt;""),IFERROR(INDEX('設定'!$G$12:$G$31,MATCH(TRIM(E73),'設定'!$J$12:$J$31,0)),""),""))</f>
        <v/>
      </c>
      <c r="K73" s="30">
        <f>IF(AND(ISNUMBER(F73),ISNUMBER(J73)),ROUND(F73*J73,0),IF(ISNUMBER(I73),I73,""))</f>
        <v/>
      </c>
      <c r="L73" s="33" t="n"/>
      <c r="M73" s="34">
        <f>IF(COUNTA(A73:B73,D73:I73,L73)=0,"",IF(B73="","案件番号がありません",IF(ISNA(MATCH(B73,'案件'!$A$6:$A$105,0)),"案件シートに無い番号です",IF(NOT(OR(D73="材料費",D73="労務費",D73="外注費",D73="経費")),"費目を4つから選んでください",IF(K73="",IF(AND(ISNUMBER(F73),NOT(ISNUMBER(J73))),IF(D73="労務費","単価がありません（設定の作業者名と同じ書き方に）","単価がありません"),IF(AND(ISNUMBER(J73),NOT(ISNUMBER(F73))),"数量がありません","金額がありません")),IF(NOT(ISNUMBER(A73)),"日付がありません（月別集計に入りません）",IF(AND(ISNUMBER(F73),ISNUMBER(J73),ISNUMBER(I73)),"数量×単価を使いました（金額の欄は使っていません）","")))))))</f>
        <v/>
      </c>
      <c r="N73" s="91">
        <f>IF(AND(B73&lt;&gt;"",B73='案件カード'!$C$3),COUNTIF($B$5:B73,'案件カード'!$C$3),"")</f>
        <v/>
      </c>
      <c r="O73" s="91">
        <f>IF(ISNUMBER(K73),IF(B73="",K73,IF(AND(ISNUMBER(MATCH(B73,'案件'!$A$6:$A$105,0)),OR(D73="材料費",D73="労務費",D73="外注費",D73="経費")),0,K73)),0)</f>
        <v/>
      </c>
    </row>
    <row r="74" ht="16" customHeight="1">
      <c r="A74" s="35" t="n"/>
      <c r="B74" s="36" t="n"/>
      <c r="C74" s="37">
        <f>IF(B74="","",IFERROR(INDEX('案件'!$B$6:$B$105,MATCH(B74,'案件'!$A$6:$A$105,0))&amp;"","（案件シートに無い番号）"))</f>
        <v/>
      </c>
      <c r="D74" s="36" t="n"/>
      <c r="E74" s="38" t="n"/>
      <c r="F74" s="39" t="n"/>
      <c r="G74" s="36" t="n"/>
      <c r="H74" s="40" t="n"/>
      <c r="I74" s="40" t="n"/>
      <c r="J74" s="41">
        <f>IF(ISNUMBER(H74),H74,IF(AND(D74="労務費",TRIM(E74)&lt;&gt;""),IFERROR(INDEX('設定'!$G$12:$G$31,MATCH(TRIM(E74),'設定'!$J$12:$J$31,0)),""),""))</f>
        <v/>
      </c>
      <c r="K74" s="30">
        <f>IF(AND(ISNUMBER(F74),ISNUMBER(J74)),ROUND(F74*J74,0),IF(ISNUMBER(I74),I74,""))</f>
        <v/>
      </c>
      <c r="L74" s="33" t="n"/>
      <c r="M74" s="34">
        <f>IF(COUNTA(A74:B74,D74:I74,L74)=0,"",IF(B74="","案件番号がありません",IF(ISNA(MATCH(B74,'案件'!$A$6:$A$105,0)),"案件シートに無い番号です",IF(NOT(OR(D74="材料費",D74="労務費",D74="外注費",D74="経費")),"費目を4つから選んでください",IF(K74="",IF(AND(ISNUMBER(F74),NOT(ISNUMBER(J74))),IF(D74="労務費","単価がありません（設定の作業者名と同じ書き方に）","単価がありません"),IF(AND(ISNUMBER(J74),NOT(ISNUMBER(F74))),"数量がありません","金額がありません")),IF(NOT(ISNUMBER(A74)),"日付がありません（月別集計に入りません）",IF(AND(ISNUMBER(F74),ISNUMBER(J74),ISNUMBER(I74)),"数量×単価を使いました（金額の欄は使っていません）","")))))))</f>
        <v/>
      </c>
      <c r="N74" s="91">
        <f>IF(AND(B74&lt;&gt;"",B74='案件カード'!$C$3),COUNTIF($B$5:B74,'案件カード'!$C$3),"")</f>
        <v/>
      </c>
      <c r="O74" s="91">
        <f>IF(ISNUMBER(K74),IF(B74="",K74,IF(AND(ISNUMBER(MATCH(B74,'案件'!$A$6:$A$105,0)),OR(D74="材料費",D74="労務費",D74="外注費",D74="経費")),0,K74)),0)</f>
        <v/>
      </c>
    </row>
    <row r="75" ht="16" customHeight="1">
      <c r="A75" s="35" t="n"/>
      <c r="B75" s="36" t="n"/>
      <c r="C75" s="37">
        <f>IF(B75="","",IFERROR(INDEX('案件'!$B$6:$B$105,MATCH(B75,'案件'!$A$6:$A$105,0))&amp;"","（案件シートに無い番号）"))</f>
        <v/>
      </c>
      <c r="D75" s="36" t="n"/>
      <c r="E75" s="38" t="n"/>
      <c r="F75" s="39" t="n"/>
      <c r="G75" s="36" t="n"/>
      <c r="H75" s="40" t="n"/>
      <c r="I75" s="40" t="n"/>
      <c r="J75" s="41">
        <f>IF(ISNUMBER(H75),H75,IF(AND(D75="労務費",TRIM(E75)&lt;&gt;""),IFERROR(INDEX('設定'!$G$12:$G$31,MATCH(TRIM(E75),'設定'!$J$12:$J$31,0)),""),""))</f>
        <v/>
      </c>
      <c r="K75" s="30">
        <f>IF(AND(ISNUMBER(F75),ISNUMBER(J75)),ROUND(F75*J75,0),IF(ISNUMBER(I75),I75,""))</f>
        <v/>
      </c>
      <c r="L75" s="33" t="n"/>
      <c r="M75" s="34">
        <f>IF(COUNTA(A75:B75,D75:I75,L75)=0,"",IF(B75="","案件番号がありません",IF(ISNA(MATCH(B75,'案件'!$A$6:$A$105,0)),"案件シートに無い番号です",IF(NOT(OR(D75="材料費",D75="労務費",D75="外注費",D75="経費")),"費目を4つから選んでください",IF(K75="",IF(AND(ISNUMBER(F75),NOT(ISNUMBER(J75))),IF(D75="労務費","単価がありません（設定の作業者名と同じ書き方に）","単価がありません"),IF(AND(ISNUMBER(J75),NOT(ISNUMBER(F75))),"数量がありません","金額がありません")),IF(NOT(ISNUMBER(A75)),"日付がありません（月別集計に入りません）",IF(AND(ISNUMBER(F75),ISNUMBER(J75),ISNUMBER(I75)),"数量×単価を使いました（金額の欄は使っていません）","")))))))</f>
        <v/>
      </c>
      <c r="N75" s="91">
        <f>IF(AND(B75&lt;&gt;"",B75='案件カード'!$C$3),COUNTIF($B$5:B75,'案件カード'!$C$3),"")</f>
        <v/>
      </c>
      <c r="O75" s="91">
        <f>IF(ISNUMBER(K75),IF(B75="",K75,IF(AND(ISNUMBER(MATCH(B75,'案件'!$A$6:$A$105,0)),OR(D75="材料費",D75="労務費",D75="外注費",D75="経費")),0,K75)),0)</f>
        <v/>
      </c>
    </row>
    <row r="76" ht="16" customHeight="1">
      <c r="A76" s="35" t="n"/>
      <c r="B76" s="36" t="n"/>
      <c r="C76" s="37">
        <f>IF(B76="","",IFERROR(INDEX('案件'!$B$6:$B$105,MATCH(B76,'案件'!$A$6:$A$105,0))&amp;"","（案件シートに無い番号）"))</f>
        <v/>
      </c>
      <c r="D76" s="36" t="n"/>
      <c r="E76" s="38" t="n"/>
      <c r="F76" s="39" t="n"/>
      <c r="G76" s="36" t="n"/>
      <c r="H76" s="40" t="n"/>
      <c r="I76" s="40" t="n"/>
      <c r="J76" s="41">
        <f>IF(ISNUMBER(H76),H76,IF(AND(D76="労務費",TRIM(E76)&lt;&gt;""),IFERROR(INDEX('設定'!$G$12:$G$31,MATCH(TRIM(E76),'設定'!$J$12:$J$31,0)),""),""))</f>
        <v/>
      </c>
      <c r="K76" s="30">
        <f>IF(AND(ISNUMBER(F76),ISNUMBER(J76)),ROUND(F76*J76,0),IF(ISNUMBER(I76),I76,""))</f>
        <v/>
      </c>
      <c r="L76" s="33" t="n"/>
      <c r="M76" s="34">
        <f>IF(COUNTA(A76:B76,D76:I76,L76)=0,"",IF(B76="","案件番号がありません",IF(ISNA(MATCH(B76,'案件'!$A$6:$A$105,0)),"案件シートに無い番号です",IF(NOT(OR(D76="材料費",D76="労務費",D76="外注費",D76="経費")),"費目を4つから選んでください",IF(K76="",IF(AND(ISNUMBER(F76),NOT(ISNUMBER(J76))),IF(D76="労務費","単価がありません（設定の作業者名と同じ書き方に）","単価がありません"),IF(AND(ISNUMBER(J76),NOT(ISNUMBER(F76))),"数量がありません","金額がありません")),IF(NOT(ISNUMBER(A76)),"日付がありません（月別集計に入りません）",IF(AND(ISNUMBER(F76),ISNUMBER(J76),ISNUMBER(I76)),"数量×単価を使いました（金額の欄は使っていません）","")))))))</f>
        <v/>
      </c>
      <c r="N76" s="91">
        <f>IF(AND(B76&lt;&gt;"",B76='案件カード'!$C$3),COUNTIF($B$5:B76,'案件カード'!$C$3),"")</f>
        <v/>
      </c>
      <c r="O76" s="91">
        <f>IF(ISNUMBER(K76),IF(B76="",K76,IF(AND(ISNUMBER(MATCH(B76,'案件'!$A$6:$A$105,0)),OR(D76="材料費",D76="労務費",D76="外注費",D76="経費")),0,K76)),0)</f>
        <v/>
      </c>
    </row>
    <row r="77" ht="16" customHeight="1">
      <c r="A77" s="35" t="n"/>
      <c r="B77" s="36" t="n"/>
      <c r="C77" s="37">
        <f>IF(B77="","",IFERROR(INDEX('案件'!$B$6:$B$105,MATCH(B77,'案件'!$A$6:$A$105,0))&amp;"","（案件シートに無い番号）"))</f>
        <v/>
      </c>
      <c r="D77" s="36" t="n"/>
      <c r="E77" s="38" t="n"/>
      <c r="F77" s="39" t="n"/>
      <c r="G77" s="36" t="n"/>
      <c r="H77" s="40" t="n"/>
      <c r="I77" s="40" t="n"/>
      <c r="J77" s="41">
        <f>IF(ISNUMBER(H77),H77,IF(AND(D77="労務費",TRIM(E77)&lt;&gt;""),IFERROR(INDEX('設定'!$G$12:$G$31,MATCH(TRIM(E77),'設定'!$J$12:$J$31,0)),""),""))</f>
        <v/>
      </c>
      <c r="K77" s="30">
        <f>IF(AND(ISNUMBER(F77),ISNUMBER(J77)),ROUND(F77*J77,0),IF(ISNUMBER(I77),I77,""))</f>
        <v/>
      </c>
      <c r="L77" s="33" t="n"/>
      <c r="M77" s="34">
        <f>IF(COUNTA(A77:B77,D77:I77,L77)=0,"",IF(B77="","案件番号がありません",IF(ISNA(MATCH(B77,'案件'!$A$6:$A$105,0)),"案件シートに無い番号です",IF(NOT(OR(D77="材料費",D77="労務費",D77="外注費",D77="経費")),"費目を4つから選んでください",IF(K77="",IF(AND(ISNUMBER(F77),NOT(ISNUMBER(J77))),IF(D77="労務費","単価がありません（設定の作業者名と同じ書き方に）","単価がありません"),IF(AND(ISNUMBER(J77),NOT(ISNUMBER(F77))),"数量がありません","金額がありません")),IF(NOT(ISNUMBER(A77)),"日付がありません（月別集計に入りません）",IF(AND(ISNUMBER(F77),ISNUMBER(J77),ISNUMBER(I77)),"数量×単価を使いました（金額の欄は使っていません）","")))))))</f>
        <v/>
      </c>
      <c r="N77" s="91">
        <f>IF(AND(B77&lt;&gt;"",B77='案件カード'!$C$3),COUNTIF($B$5:B77,'案件カード'!$C$3),"")</f>
        <v/>
      </c>
      <c r="O77" s="91">
        <f>IF(ISNUMBER(K77),IF(B77="",K77,IF(AND(ISNUMBER(MATCH(B77,'案件'!$A$6:$A$105,0)),OR(D77="材料費",D77="労務費",D77="外注費",D77="経費")),0,K77)),0)</f>
        <v/>
      </c>
    </row>
    <row r="78" ht="16" customHeight="1">
      <c r="A78" s="35" t="n"/>
      <c r="B78" s="36" t="n"/>
      <c r="C78" s="37">
        <f>IF(B78="","",IFERROR(INDEX('案件'!$B$6:$B$105,MATCH(B78,'案件'!$A$6:$A$105,0))&amp;"","（案件シートに無い番号）"))</f>
        <v/>
      </c>
      <c r="D78" s="36" t="n"/>
      <c r="E78" s="38" t="n"/>
      <c r="F78" s="39" t="n"/>
      <c r="G78" s="36" t="n"/>
      <c r="H78" s="40" t="n"/>
      <c r="I78" s="40" t="n"/>
      <c r="J78" s="41">
        <f>IF(ISNUMBER(H78),H78,IF(AND(D78="労務費",TRIM(E78)&lt;&gt;""),IFERROR(INDEX('設定'!$G$12:$G$31,MATCH(TRIM(E78),'設定'!$J$12:$J$31,0)),""),""))</f>
        <v/>
      </c>
      <c r="K78" s="30">
        <f>IF(AND(ISNUMBER(F78),ISNUMBER(J78)),ROUND(F78*J78,0),IF(ISNUMBER(I78),I78,""))</f>
        <v/>
      </c>
      <c r="L78" s="33" t="n"/>
      <c r="M78" s="34">
        <f>IF(COUNTA(A78:B78,D78:I78,L78)=0,"",IF(B78="","案件番号がありません",IF(ISNA(MATCH(B78,'案件'!$A$6:$A$105,0)),"案件シートに無い番号です",IF(NOT(OR(D78="材料費",D78="労務費",D78="外注費",D78="経費")),"費目を4つから選んでください",IF(K78="",IF(AND(ISNUMBER(F78),NOT(ISNUMBER(J78))),IF(D78="労務費","単価がありません（設定の作業者名と同じ書き方に）","単価がありません"),IF(AND(ISNUMBER(J78),NOT(ISNUMBER(F78))),"数量がありません","金額がありません")),IF(NOT(ISNUMBER(A78)),"日付がありません（月別集計に入りません）",IF(AND(ISNUMBER(F78),ISNUMBER(J78),ISNUMBER(I78)),"数量×単価を使いました（金額の欄は使っていません）","")))))))</f>
        <v/>
      </c>
      <c r="N78" s="91">
        <f>IF(AND(B78&lt;&gt;"",B78='案件カード'!$C$3),COUNTIF($B$5:B78,'案件カード'!$C$3),"")</f>
        <v/>
      </c>
      <c r="O78" s="91">
        <f>IF(ISNUMBER(K78),IF(B78="",K78,IF(AND(ISNUMBER(MATCH(B78,'案件'!$A$6:$A$105,0)),OR(D78="材料費",D78="労務費",D78="外注費",D78="経費")),0,K78)),0)</f>
        <v/>
      </c>
    </row>
    <row r="79" ht="16" customHeight="1">
      <c r="A79" s="35" t="n"/>
      <c r="B79" s="36" t="n"/>
      <c r="C79" s="37">
        <f>IF(B79="","",IFERROR(INDEX('案件'!$B$6:$B$105,MATCH(B79,'案件'!$A$6:$A$105,0))&amp;"","（案件シートに無い番号）"))</f>
        <v/>
      </c>
      <c r="D79" s="36" t="n"/>
      <c r="E79" s="38" t="n"/>
      <c r="F79" s="39" t="n"/>
      <c r="G79" s="36" t="n"/>
      <c r="H79" s="40" t="n"/>
      <c r="I79" s="40" t="n"/>
      <c r="J79" s="41">
        <f>IF(ISNUMBER(H79),H79,IF(AND(D79="労務費",TRIM(E79)&lt;&gt;""),IFERROR(INDEX('設定'!$G$12:$G$31,MATCH(TRIM(E79),'設定'!$J$12:$J$31,0)),""),""))</f>
        <v/>
      </c>
      <c r="K79" s="30">
        <f>IF(AND(ISNUMBER(F79),ISNUMBER(J79)),ROUND(F79*J79,0),IF(ISNUMBER(I79),I79,""))</f>
        <v/>
      </c>
      <c r="L79" s="33" t="n"/>
      <c r="M79" s="34">
        <f>IF(COUNTA(A79:B79,D79:I79,L79)=0,"",IF(B79="","案件番号がありません",IF(ISNA(MATCH(B79,'案件'!$A$6:$A$105,0)),"案件シートに無い番号です",IF(NOT(OR(D79="材料費",D79="労務費",D79="外注費",D79="経費")),"費目を4つから選んでください",IF(K79="",IF(AND(ISNUMBER(F79),NOT(ISNUMBER(J79))),IF(D79="労務費","単価がありません（設定の作業者名と同じ書き方に）","単価がありません"),IF(AND(ISNUMBER(J79),NOT(ISNUMBER(F79))),"数量がありません","金額がありません")),IF(NOT(ISNUMBER(A79)),"日付がありません（月別集計に入りません）",IF(AND(ISNUMBER(F79),ISNUMBER(J79),ISNUMBER(I79)),"数量×単価を使いました（金額の欄は使っていません）","")))))))</f>
        <v/>
      </c>
      <c r="N79" s="91">
        <f>IF(AND(B79&lt;&gt;"",B79='案件カード'!$C$3),COUNTIF($B$5:B79,'案件カード'!$C$3),"")</f>
        <v/>
      </c>
      <c r="O79" s="91">
        <f>IF(ISNUMBER(K79),IF(B79="",K79,IF(AND(ISNUMBER(MATCH(B79,'案件'!$A$6:$A$105,0)),OR(D79="材料費",D79="労務費",D79="外注費",D79="経費")),0,K79)),0)</f>
        <v/>
      </c>
    </row>
    <row r="80" ht="16" customHeight="1">
      <c r="A80" s="35" t="n"/>
      <c r="B80" s="36" t="n"/>
      <c r="C80" s="37">
        <f>IF(B80="","",IFERROR(INDEX('案件'!$B$6:$B$105,MATCH(B80,'案件'!$A$6:$A$105,0))&amp;"","（案件シートに無い番号）"))</f>
        <v/>
      </c>
      <c r="D80" s="36" t="n"/>
      <c r="E80" s="38" t="n"/>
      <c r="F80" s="39" t="n"/>
      <c r="G80" s="36" t="n"/>
      <c r="H80" s="40" t="n"/>
      <c r="I80" s="40" t="n"/>
      <c r="J80" s="41">
        <f>IF(ISNUMBER(H80),H80,IF(AND(D80="労務費",TRIM(E80)&lt;&gt;""),IFERROR(INDEX('設定'!$G$12:$G$31,MATCH(TRIM(E80),'設定'!$J$12:$J$31,0)),""),""))</f>
        <v/>
      </c>
      <c r="K80" s="30">
        <f>IF(AND(ISNUMBER(F80),ISNUMBER(J80)),ROUND(F80*J80,0),IF(ISNUMBER(I80),I80,""))</f>
        <v/>
      </c>
      <c r="L80" s="33" t="n"/>
      <c r="M80" s="34">
        <f>IF(COUNTA(A80:B80,D80:I80,L80)=0,"",IF(B80="","案件番号がありません",IF(ISNA(MATCH(B80,'案件'!$A$6:$A$105,0)),"案件シートに無い番号です",IF(NOT(OR(D80="材料費",D80="労務費",D80="外注費",D80="経費")),"費目を4つから選んでください",IF(K80="",IF(AND(ISNUMBER(F80),NOT(ISNUMBER(J80))),IF(D80="労務費","単価がありません（設定の作業者名と同じ書き方に）","単価がありません"),IF(AND(ISNUMBER(J80),NOT(ISNUMBER(F80))),"数量がありません","金額がありません")),IF(NOT(ISNUMBER(A80)),"日付がありません（月別集計に入りません）",IF(AND(ISNUMBER(F80),ISNUMBER(J80),ISNUMBER(I80)),"数量×単価を使いました（金額の欄は使っていません）","")))))))</f>
        <v/>
      </c>
      <c r="N80" s="91">
        <f>IF(AND(B80&lt;&gt;"",B80='案件カード'!$C$3),COUNTIF($B$5:B80,'案件カード'!$C$3),"")</f>
        <v/>
      </c>
      <c r="O80" s="91">
        <f>IF(ISNUMBER(K80),IF(B80="",K80,IF(AND(ISNUMBER(MATCH(B80,'案件'!$A$6:$A$105,0)),OR(D80="材料費",D80="労務費",D80="外注費",D80="経費")),0,K80)),0)</f>
        <v/>
      </c>
    </row>
    <row r="81" ht="16" customHeight="1">
      <c r="A81" s="35" t="n"/>
      <c r="B81" s="36" t="n"/>
      <c r="C81" s="37">
        <f>IF(B81="","",IFERROR(INDEX('案件'!$B$6:$B$105,MATCH(B81,'案件'!$A$6:$A$105,0))&amp;"","（案件シートに無い番号）"))</f>
        <v/>
      </c>
      <c r="D81" s="36" t="n"/>
      <c r="E81" s="38" t="n"/>
      <c r="F81" s="39" t="n"/>
      <c r="G81" s="36" t="n"/>
      <c r="H81" s="40" t="n"/>
      <c r="I81" s="40" t="n"/>
      <c r="J81" s="41">
        <f>IF(ISNUMBER(H81),H81,IF(AND(D81="労務費",TRIM(E81)&lt;&gt;""),IFERROR(INDEX('設定'!$G$12:$G$31,MATCH(TRIM(E81),'設定'!$J$12:$J$31,0)),""),""))</f>
        <v/>
      </c>
      <c r="K81" s="30">
        <f>IF(AND(ISNUMBER(F81),ISNUMBER(J81)),ROUND(F81*J81,0),IF(ISNUMBER(I81),I81,""))</f>
        <v/>
      </c>
      <c r="L81" s="33" t="n"/>
      <c r="M81" s="34">
        <f>IF(COUNTA(A81:B81,D81:I81,L81)=0,"",IF(B81="","案件番号がありません",IF(ISNA(MATCH(B81,'案件'!$A$6:$A$105,0)),"案件シートに無い番号です",IF(NOT(OR(D81="材料費",D81="労務費",D81="外注費",D81="経費")),"費目を4つから選んでください",IF(K81="",IF(AND(ISNUMBER(F81),NOT(ISNUMBER(J81))),IF(D81="労務費","単価がありません（設定の作業者名と同じ書き方に）","単価がありません"),IF(AND(ISNUMBER(J81),NOT(ISNUMBER(F81))),"数量がありません","金額がありません")),IF(NOT(ISNUMBER(A81)),"日付がありません（月別集計に入りません）",IF(AND(ISNUMBER(F81),ISNUMBER(J81),ISNUMBER(I81)),"数量×単価を使いました（金額の欄は使っていません）","")))))))</f>
        <v/>
      </c>
      <c r="N81" s="91">
        <f>IF(AND(B81&lt;&gt;"",B81='案件カード'!$C$3),COUNTIF($B$5:B81,'案件カード'!$C$3),"")</f>
        <v/>
      </c>
      <c r="O81" s="91">
        <f>IF(ISNUMBER(K81),IF(B81="",K81,IF(AND(ISNUMBER(MATCH(B81,'案件'!$A$6:$A$105,0)),OR(D81="材料費",D81="労務費",D81="外注費",D81="経費")),0,K81)),0)</f>
        <v/>
      </c>
    </row>
    <row r="82" ht="16" customHeight="1">
      <c r="A82" s="35" t="n"/>
      <c r="B82" s="36" t="n"/>
      <c r="C82" s="37">
        <f>IF(B82="","",IFERROR(INDEX('案件'!$B$6:$B$105,MATCH(B82,'案件'!$A$6:$A$105,0))&amp;"","（案件シートに無い番号）"))</f>
        <v/>
      </c>
      <c r="D82" s="36" t="n"/>
      <c r="E82" s="38" t="n"/>
      <c r="F82" s="39" t="n"/>
      <c r="G82" s="36" t="n"/>
      <c r="H82" s="40" t="n"/>
      <c r="I82" s="40" t="n"/>
      <c r="J82" s="41">
        <f>IF(ISNUMBER(H82),H82,IF(AND(D82="労務費",TRIM(E82)&lt;&gt;""),IFERROR(INDEX('設定'!$G$12:$G$31,MATCH(TRIM(E82),'設定'!$J$12:$J$31,0)),""),""))</f>
        <v/>
      </c>
      <c r="K82" s="30">
        <f>IF(AND(ISNUMBER(F82),ISNUMBER(J82)),ROUND(F82*J82,0),IF(ISNUMBER(I82),I82,""))</f>
        <v/>
      </c>
      <c r="L82" s="33" t="n"/>
      <c r="M82" s="34">
        <f>IF(COUNTA(A82:B82,D82:I82,L82)=0,"",IF(B82="","案件番号がありません",IF(ISNA(MATCH(B82,'案件'!$A$6:$A$105,0)),"案件シートに無い番号です",IF(NOT(OR(D82="材料費",D82="労務費",D82="外注費",D82="経費")),"費目を4つから選んでください",IF(K82="",IF(AND(ISNUMBER(F82),NOT(ISNUMBER(J82))),IF(D82="労務費","単価がありません（設定の作業者名と同じ書き方に）","単価がありません"),IF(AND(ISNUMBER(J82),NOT(ISNUMBER(F82))),"数量がありません","金額がありません")),IF(NOT(ISNUMBER(A82)),"日付がありません（月別集計に入りません）",IF(AND(ISNUMBER(F82),ISNUMBER(J82),ISNUMBER(I82)),"数量×単価を使いました（金額の欄は使っていません）","")))))))</f>
        <v/>
      </c>
      <c r="N82" s="91">
        <f>IF(AND(B82&lt;&gt;"",B82='案件カード'!$C$3),COUNTIF($B$5:B82,'案件カード'!$C$3),"")</f>
        <v/>
      </c>
      <c r="O82" s="91">
        <f>IF(ISNUMBER(K82),IF(B82="",K82,IF(AND(ISNUMBER(MATCH(B82,'案件'!$A$6:$A$105,0)),OR(D82="材料費",D82="労務費",D82="外注費",D82="経費")),0,K82)),0)</f>
        <v/>
      </c>
    </row>
    <row r="83" ht="16" customHeight="1">
      <c r="A83" s="35" t="n"/>
      <c r="B83" s="36" t="n"/>
      <c r="C83" s="37">
        <f>IF(B83="","",IFERROR(INDEX('案件'!$B$6:$B$105,MATCH(B83,'案件'!$A$6:$A$105,0))&amp;"","（案件シートに無い番号）"))</f>
        <v/>
      </c>
      <c r="D83" s="36" t="n"/>
      <c r="E83" s="38" t="n"/>
      <c r="F83" s="39" t="n"/>
      <c r="G83" s="36" t="n"/>
      <c r="H83" s="40" t="n"/>
      <c r="I83" s="40" t="n"/>
      <c r="J83" s="41">
        <f>IF(ISNUMBER(H83),H83,IF(AND(D83="労務費",TRIM(E83)&lt;&gt;""),IFERROR(INDEX('設定'!$G$12:$G$31,MATCH(TRIM(E83),'設定'!$J$12:$J$31,0)),""),""))</f>
        <v/>
      </c>
      <c r="K83" s="30">
        <f>IF(AND(ISNUMBER(F83),ISNUMBER(J83)),ROUND(F83*J83,0),IF(ISNUMBER(I83),I83,""))</f>
        <v/>
      </c>
      <c r="L83" s="33" t="n"/>
      <c r="M83" s="34">
        <f>IF(COUNTA(A83:B83,D83:I83,L83)=0,"",IF(B83="","案件番号がありません",IF(ISNA(MATCH(B83,'案件'!$A$6:$A$105,0)),"案件シートに無い番号です",IF(NOT(OR(D83="材料費",D83="労務費",D83="外注費",D83="経費")),"費目を4つから選んでください",IF(K83="",IF(AND(ISNUMBER(F83),NOT(ISNUMBER(J83))),IF(D83="労務費","単価がありません（設定の作業者名と同じ書き方に）","単価がありません"),IF(AND(ISNUMBER(J83),NOT(ISNUMBER(F83))),"数量がありません","金額がありません")),IF(NOT(ISNUMBER(A83)),"日付がありません（月別集計に入りません）",IF(AND(ISNUMBER(F83),ISNUMBER(J83),ISNUMBER(I83)),"数量×単価を使いました（金額の欄は使っていません）","")))))))</f>
        <v/>
      </c>
      <c r="N83" s="91">
        <f>IF(AND(B83&lt;&gt;"",B83='案件カード'!$C$3),COUNTIF($B$5:B83,'案件カード'!$C$3),"")</f>
        <v/>
      </c>
      <c r="O83" s="91">
        <f>IF(ISNUMBER(K83),IF(B83="",K83,IF(AND(ISNUMBER(MATCH(B83,'案件'!$A$6:$A$105,0)),OR(D83="材料費",D83="労務費",D83="外注費",D83="経費")),0,K83)),0)</f>
        <v/>
      </c>
    </row>
    <row r="84" ht="16" customHeight="1">
      <c r="A84" s="35" t="n"/>
      <c r="B84" s="36" t="n"/>
      <c r="C84" s="37">
        <f>IF(B84="","",IFERROR(INDEX('案件'!$B$6:$B$105,MATCH(B84,'案件'!$A$6:$A$105,0))&amp;"","（案件シートに無い番号）"))</f>
        <v/>
      </c>
      <c r="D84" s="36" t="n"/>
      <c r="E84" s="38" t="n"/>
      <c r="F84" s="39" t="n"/>
      <c r="G84" s="36" t="n"/>
      <c r="H84" s="40" t="n"/>
      <c r="I84" s="40" t="n"/>
      <c r="J84" s="41">
        <f>IF(ISNUMBER(H84),H84,IF(AND(D84="労務費",TRIM(E84)&lt;&gt;""),IFERROR(INDEX('設定'!$G$12:$G$31,MATCH(TRIM(E84),'設定'!$J$12:$J$31,0)),""),""))</f>
        <v/>
      </c>
      <c r="K84" s="30">
        <f>IF(AND(ISNUMBER(F84),ISNUMBER(J84)),ROUND(F84*J84,0),IF(ISNUMBER(I84),I84,""))</f>
        <v/>
      </c>
      <c r="L84" s="33" t="n"/>
      <c r="M84" s="34">
        <f>IF(COUNTA(A84:B84,D84:I84,L84)=0,"",IF(B84="","案件番号がありません",IF(ISNA(MATCH(B84,'案件'!$A$6:$A$105,0)),"案件シートに無い番号です",IF(NOT(OR(D84="材料費",D84="労務費",D84="外注費",D84="経費")),"費目を4つから選んでください",IF(K84="",IF(AND(ISNUMBER(F84),NOT(ISNUMBER(J84))),IF(D84="労務費","単価がありません（設定の作業者名と同じ書き方に）","単価がありません"),IF(AND(ISNUMBER(J84),NOT(ISNUMBER(F84))),"数量がありません","金額がありません")),IF(NOT(ISNUMBER(A84)),"日付がありません（月別集計に入りません）",IF(AND(ISNUMBER(F84),ISNUMBER(J84),ISNUMBER(I84)),"数量×単価を使いました（金額の欄は使っていません）","")))))))</f>
        <v/>
      </c>
      <c r="N84" s="91">
        <f>IF(AND(B84&lt;&gt;"",B84='案件カード'!$C$3),COUNTIF($B$5:B84,'案件カード'!$C$3),"")</f>
        <v/>
      </c>
      <c r="O84" s="91">
        <f>IF(ISNUMBER(K84),IF(B84="",K84,IF(AND(ISNUMBER(MATCH(B84,'案件'!$A$6:$A$105,0)),OR(D84="材料費",D84="労務費",D84="外注費",D84="経費")),0,K84)),0)</f>
        <v/>
      </c>
    </row>
    <row r="85" ht="16" customHeight="1">
      <c r="A85" s="35" t="n"/>
      <c r="B85" s="36" t="n"/>
      <c r="C85" s="37">
        <f>IF(B85="","",IFERROR(INDEX('案件'!$B$6:$B$105,MATCH(B85,'案件'!$A$6:$A$105,0))&amp;"","（案件シートに無い番号）"))</f>
        <v/>
      </c>
      <c r="D85" s="36" t="n"/>
      <c r="E85" s="38" t="n"/>
      <c r="F85" s="39" t="n"/>
      <c r="G85" s="36" t="n"/>
      <c r="H85" s="40" t="n"/>
      <c r="I85" s="40" t="n"/>
      <c r="J85" s="41">
        <f>IF(ISNUMBER(H85),H85,IF(AND(D85="労務費",TRIM(E85)&lt;&gt;""),IFERROR(INDEX('設定'!$G$12:$G$31,MATCH(TRIM(E85),'設定'!$J$12:$J$31,0)),""),""))</f>
        <v/>
      </c>
      <c r="K85" s="30">
        <f>IF(AND(ISNUMBER(F85),ISNUMBER(J85)),ROUND(F85*J85,0),IF(ISNUMBER(I85),I85,""))</f>
        <v/>
      </c>
      <c r="L85" s="33" t="n"/>
      <c r="M85" s="34">
        <f>IF(COUNTA(A85:B85,D85:I85,L85)=0,"",IF(B85="","案件番号がありません",IF(ISNA(MATCH(B85,'案件'!$A$6:$A$105,0)),"案件シートに無い番号です",IF(NOT(OR(D85="材料費",D85="労務費",D85="外注費",D85="経費")),"費目を4つから選んでください",IF(K85="",IF(AND(ISNUMBER(F85),NOT(ISNUMBER(J85))),IF(D85="労務費","単価がありません（設定の作業者名と同じ書き方に）","単価がありません"),IF(AND(ISNUMBER(J85),NOT(ISNUMBER(F85))),"数量がありません","金額がありません")),IF(NOT(ISNUMBER(A85)),"日付がありません（月別集計に入りません）",IF(AND(ISNUMBER(F85),ISNUMBER(J85),ISNUMBER(I85)),"数量×単価を使いました（金額の欄は使っていません）","")))))))</f>
        <v/>
      </c>
      <c r="N85" s="91">
        <f>IF(AND(B85&lt;&gt;"",B85='案件カード'!$C$3),COUNTIF($B$5:B85,'案件カード'!$C$3),"")</f>
        <v/>
      </c>
      <c r="O85" s="91">
        <f>IF(ISNUMBER(K85),IF(B85="",K85,IF(AND(ISNUMBER(MATCH(B85,'案件'!$A$6:$A$105,0)),OR(D85="材料費",D85="労務費",D85="外注費",D85="経費")),0,K85)),0)</f>
        <v/>
      </c>
    </row>
    <row r="86" ht="16" customHeight="1">
      <c r="A86" s="35" t="n"/>
      <c r="B86" s="36" t="n"/>
      <c r="C86" s="37">
        <f>IF(B86="","",IFERROR(INDEX('案件'!$B$6:$B$105,MATCH(B86,'案件'!$A$6:$A$105,0))&amp;"","（案件シートに無い番号）"))</f>
        <v/>
      </c>
      <c r="D86" s="36" t="n"/>
      <c r="E86" s="38" t="n"/>
      <c r="F86" s="39" t="n"/>
      <c r="G86" s="36" t="n"/>
      <c r="H86" s="40" t="n"/>
      <c r="I86" s="40" t="n"/>
      <c r="J86" s="41">
        <f>IF(ISNUMBER(H86),H86,IF(AND(D86="労務費",TRIM(E86)&lt;&gt;""),IFERROR(INDEX('設定'!$G$12:$G$31,MATCH(TRIM(E86),'設定'!$J$12:$J$31,0)),""),""))</f>
        <v/>
      </c>
      <c r="K86" s="30">
        <f>IF(AND(ISNUMBER(F86),ISNUMBER(J86)),ROUND(F86*J86,0),IF(ISNUMBER(I86),I86,""))</f>
        <v/>
      </c>
      <c r="L86" s="33" t="n"/>
      <c r="M86" s="34">
        <f>IF(COUNTA(A86:B86,D86:I86,L86)=0,"",IF(B86="","案件番号がありません",IF(ISNA(MATCH(B86,'案件'!$A$6:$A$105,0)),"案件シートに無い番号です",IF(NOT(OR(D86="材料費",D86="労務費",D86="外注費",D86="経費")),"費目を4つから選んでください",IF(K86="",IF(AND(ISNUMBER(F86),NOT(ISNUMBER(J86))),IF(D86="労務費","単価がありません（設定の作業者名と同じ書き方に）","単価がありません"),IF(AND(ISNUMBER(J86),NOT(ISNUMBER(F86))),"数量がありません","金額がありません")),IF(NOT(ISNUMBER(A86)),"日付がありません（月別集計に入りません）",IF(AND(ISNUMBER(F86),ISNUMBER(J86),ISNUMBER(I86)),"数量×単価を使いました（金額の欄は使っていません）","")))))))</f>
        <v/>
      </c>
      <c r="N86" s="91">
        <f>IF(AND(B86&lt;&gt;"",B86='案件カード'!$C$3),COUNTIF($B$5:B86,'案件カード'!$C$3),"")</f>
        <v/>
      </c>
      <c r="O86" s="91">
        <f>IF(ISNUMBER(K86),IF(B86="",K86,IF(AND(ISNUMBER(MATCH(B86,'案件'!$A$6:$A$105,0)),OR(D86="材料費",D86="労務費",D86="外注費",D86="経費")),0,K86)),0)</f>
        <v/>
      </c>
    </row>
    <row r="87" ht="16" customHeight="1">
      <c r="A87" s="35" t="n"/>
      <c r="B87" s="36" t="n"/>
      <c r="C87" s="37">
        <f>IF(B87="","",IFERROR(INDEX('案件'!$B$6:$B$105,MATCH(B87,'案件'!$A$6:$A$105,0))&amp;"","（案件シートに無い番号）"))</f>
        <v/>
      </c>
      <c r="D87" s="36" t="n"/>
      <c r="E87" s="38" t="n"/>
      <c r="F87" s="39" t="n"/>
      <c r="G87" s="36" t="n"/>
      <c r="H87" s="40" t="n"/>
      <c r="I87" s="40" t="n"/>
      <c r="J87" s="41">
        <f>IF(ISNUMBER(H87),H87,IF(AND(D87="労務費",TRIM(E87)&lt;&gt;""),IFERROR(INDEX('設定'!$G$12:$G$31,MATCH(TRIM(E87),'設定'!$J$12:$J$31,0)),""),""))</f>
        <v/>
      </c>
      <c r="K87" s="30">
        <f>IF(AND(ISNUMBER(F87),ISNUMBER(J87)),ROUND(F87*J87,0),IF(ISNUMBER(I87),I87,""))</f>
        <v/>
      </c>
      <c r="L87" s="33" t="n"/>
      <c r="M87" s="34">
        <f>IF(COUNTA(A87:B87,D87:I87,L87)=0,"",IF(B87="","案件番号がありません",IF(ISNA(MATCH(B87,'案件'!$A$6:$A$105,0)),"案件シートに無い番号です",IF(NOT(OR(D87="材料費",D87="労務費",D87="外注費",D87="経費")),"費目を4つから選んでください",IF(K87="",IF(AND(ISNUMBER(F87),NOT(ISNUMBER(J87))),IF(D87="労務費","単価がありません（設定の作業者名と同じ書き方に）","単価がありません"),IF(AND(ISNUMBER(J87),NOT(ISNUMBER(F87))),"数量がありません","金額がありません")),IF(NOT(ISNUMBER(A87)),"日付がありません（月別集計に入りません）",IF(AND(ISNUMBER(F87),ISNUMBER(J87),ISNUMBER(I87)),"数量×単価を使いました（金額の欄は使っていません）","")))))))</f>
        <v/>
      </c>
      <c r="N87" s="91">
        <f>IF(AND(B87&lt;&gt;"",B87='案件カード'!$C$3),COUNTIF($B$5:B87,'案件カード'!$C$3),"")</f>
        <v/>
      </c>
      <c r="O87" s="91">
        <f>IF(ISNUMBER(K87),IF(B87="",K87,IF(AND(ISNUMBER(MATCH(B87,'案件'!$A$6:$A$105,0)),OR(D87="材料費",D87="労務費",D87="外注費",D87="経費")),0,K87)),0)</f>
        <v/>
      </c>
    </row>
    <row r="88" ht="16" customHeight="1">
      <c r="A88" s="35" t="n"/>
      <c r="B88" s="36" t="n"/>
      <c r="C88" s="37">
        <f>IF(B88="","",IFERROR(INDEX('案件'!$B$6:$B$105,MATCH(B88,'案件'!$A$6:$A$105,0))&amp;"","（案件シートに無い番号）"))</f>
        <v/>
      </c>
      <c r="D88" s="36" t="n"/>
      <c r="E88" s="38" t="n"/>
      <c r="F88" s="39" t="n"/>
      <c r="G88" s="36" t="n"/>
      <c r="H88" s="40" t="n"/>
      <c r="I88" s="40" t="n"/>
      <c r="J88" s="41">
        <f>IF(ISNUMBER(H88),H88,IF(AND(D88="労務費",TRIM(E88)&lt;&gt;""),IFERROR(INDEX('設定'!$G$12:$G$31,MATCH(TRIM(E88),'設定'!$J$12:$J$31,0)),""),""))</f>
        <v/>
      </c>
      <c r="K88" s="30">
        <f>IF(AND(ISNUMBER(F88),ISNUMBER(J88)),ROUND(F88*J88,0),IF(ISNUMBER(I88),I88,""))</f>
        <v/>
      </c>
      <c r="L88" s="33" t="n"/>
      <c r="M88" s="34">
        <f>IF(COUNTA(A88:B88,D88:I88,L88)=0,"",IF(B88="","案件番号がありません",IF(ISNA(MATCH(B88,'案件'!$A$6:$A$105,0)),"案件シートに無い番号です",IF(NOT(OR(D88="材料費",D88="労務費",D88="外注費",D88="経費")),"費目を4つから選んでください",IF(K88="",IF(AND(ISNUMBER(F88),NOT(ISNUMBER(J88))),IF(D88="労務費","単価がありません（設定の作業者名と同じ書き方に）","単価がありません"),IF(AND(ISNUMBER(J88),NOT(ISNUMBER(F88))),"数量がありません","金額がありません")),IF(NOT(ISNUMBER(A88)),"日付がありません（月別集計に入りません）",IF(AND(ISNUMBER(F88),ISNUMBER(J88),ISNUMBER(I88)),"数量×単価を使いました（金額の欄は使っていません）","")))))))</f>
        <v/>
      </c>
      <c r="N88" s="91">
        <f>IF(AND(B88&lt;&gt;"",B88='案件カード'!$C$3),COUNTIF($B$5:B88,'案件カード'!$C$3),"")</f>
        <v/>
      </c>
      <c r="O88" s="91">
        <f>IF(ISNUMBER(K88),IF(B88="",K88,IF(AND(ISNUMBER(MATCH(B88,'案件'!$A$6:$A$105,0)),OR(D88="材料費",D88="労務費",D88="外注費",D88="経費")),0,K88)),0)</f>
        <v/>
      </c>
    </row>
    <row r="89" ht="16" customHeight="1">
      <c r="A89" s="35" t="n"/>
      <c r="B89" s="36" t="n"/>
      <c r="C89" s="37">
        <f>IF(B89="","",IFERROR(INDEX('案件'!$B$6:$B$105,MATCH(B89,'案件'!$A$6:$A$105,0))&amp;"","（案件シートに無い番号）"))</f>
        <v/>
      </c>
      <c r="D89" s="36" t="n"/>
      <c r="E89" s="38" t="n"/>
      <c r="F89" s="39" t="n"/>
      <c r="G89" s="36" t="n"/>
      <c r="H89" s="40" t="n"/>
      <c r="I89" s="40" t="n"/>
      <c r="J89" s="41">
        <f>IF(ISNUMBER(H89),H89,IF(AND(D89="労務費",TRIM(E89)&lt;&gt;""),IFERROR(INDEX('設定'!$G$12:$G$31,MATCH(TRIM(E89),'設定'!$J$12:$J$31,0)),""),""))</f>
        <v/>
      </c>
      <c r="K89" s="30">
        <f>IF(AND(ISNUMBER(F89),ISNUMBER(J89)),ROUND(F89*J89,0),IF(ISNUMBER(I89),I89,""))</f>
        <v/>
      </c>
      <c r="L89" s="33" t="n"/>
      <c r="M89" s="34">
        <f>IF(COUNTA(A89:B89,D89:I89,L89)=0,"",IF(B89="","案件番号がありません",IF(ISNA(MATCH(B89,'案件'!$A$6:$A$105,0)),"案件シートに無い番号です",IF(NOT(OR(D89="材料費",D89="労務費",D89="外注費",D89="経費")),"費目を4つから選んでください",IF(K89="",IF(AND(ISNUMBER(F89),NOT(ISNUMBER(J89))),IF(D89="労務費","単価がありません（設定の作業者名と同じ書き方に）","単価がありません"),IF(AND(ISNUMBER(J89),NOT(ISNUMBER(F89))),"数量がありません","金額がありません")),IF(NOT(ISNUMBER(A89)),"日付がありません（月別集計に入りません）",IF(AND(ISNUMBER(F89),ISNUMBER(J89),ISNUMBER(I89)),"数量×単価を使いました（金額の欄は使っていません）","")))))))</f>
        <v/>
      </c>
      <c r="N89" s="91">
        <f>IF(AND(B89&lt;&gt;"",B89='案件カード'!$C$3),COUNTIF($B$5:B89,'案件カード'!$C$3),"")</f>
        <v/>
      </c>
      <c r="O89" s="91">
        <f>IF(ISNUMBER(K89),IF(B89="",K89,IF(AND(ISNUMBER(MATCH(B89,'案件'!$A$6:$A$105,0)),OR(D89="材料費",D89="労務費",D89="外注費",D89="経費")),0,K89)),0)</f>
        <v/>
      </c>
    </row>
    <row r="90" ht="16" customHeight="1">
      <c r="A90" s="35" t="n"/>
      <c r="B90" s="36" t="n"/>
      <c r="C90" s="37">
        <f>IF(B90="","",IFERROR(INDEX('案件'!$B$6:$B$105,MATCH(B90,'案件'!$A$6:$A$105,0))&amp;"","（案件シートに無い番号）"))</f>
        <v/>
      </c>
      <c r="D90" s="36" t="n"/>
      <c r="E90" s="38" t="n"/>
      <c r="F90" s="39" t="n"/>
      <c r="G90" s="36" t="n"/>
      <c r="H90" s="40" t="n"/>
      <c r="I90" s="40" t="n"/>
      <c r="J90" s="41">
        <f>IF(ISNUMBER(H90),H90,IF(AND(D90="労務費",TRIM(E90)&lt;&gt;""),IFERROR(INDEX('設定'!$G$12:$G$31,MATCH(TRIM(E90),'設定'!$J$12:$J$31,0)),""),""))</f>
        <v/>
      </c>
      <c r="K90" s="30">
        <f>IF(AND(ISNUMBER(F90),ISNUMBER(J90)),ROUND(F90*J90,0),IF(ISNUMBER(I90),I90,""))</f>
        <v/>
      </c>
      <c r="L90" s="33" t="n"/>
      <c r="M90" s="34">
        <f>IF(COUNTA(A90:B90,D90:I90,L90)=0,"",IF(B90="","案件番号がありません",IF(ISNA(MATCH(B90,'案件'!$A$6:$A$105,0)),"案件シートに無い番号です",IF(NOT(OR(D90="材料費",D90="労務費",D90="外注費",D90="経費")),"費目を4つから選んでください",IF(K90="",IF(AND(ISNUMBER(F90),NOT(ISNUMBER(J90))),IF(D90="労務費","単価がありません（設定の作業者名と同じ書き方に）","単価がありません"),IF(AND(ISNUMBER(J90),NOT(ISNUMBER(F90))),"数量がありません","金額がありません")),IF(NOT(ISNUMBER(A90)),"日付がありません（月別集計に入りません）",IF(AND(ISNUMBER(F90),ISNUMBER(J90),ISNUMBER(I90)),"数量×単価を使いました（金額の欄は使っていません）","")))))))</f>
        <v/>
      </c>
      <c r="N90" s="91">
        <f>IF(AND(B90&lt;&gt;"",B90='案件カード'!$C$3),COUNTIF($B$5:B90,'案件カード'!$C$3),"")</f>
        <v/>
      </c>
      <c r="O90" s="91">
        <f>IF(ISNUMBER(K90),IF(B90="",K90,IF(AND(ISNUMBER(MATCH(B90,'案件'!$A$6:$A$105,0)),OR(D90="材料費",D90="労務費",D90="外注費",D90="経費")),0,K90)),0)</f>
        <v/>
      </c>
    </row>
    <row r="91" ht="16" customHeight="1">
      <c r="A91" s="35" t="n"/>
      <c r="B91" s="36" t="n"/>
      <c r="C91" s="37">
        <f>IF(B91="","",IFERROR(INDEX('案件'!$B$6:$B$105,MATCH(B91,'案件'!$A$6:$A$105,0))&amp;"","（案件シートに無い番号）"))</f>
        <v/>
      </c>
      <c r="D91" s="36" t="n"/>
      <c r="E91" s="38" t="n"/>
      <c r="F91" s="39" t="n"/>
      <c r="G91" s="36" t="n"/>
      <c r="H91" s="40" t="n"/>
      <c r="I91" s="40" t="n"/>
      <c r="J91" s="41">
        <f>IF(ISNUMBER(H91),H91,IF(AND(D91="労務費",TRIM(E91)&lt;&gt;""),IFERROR(INDEX('設定'!$G$12:$G$31,MATCH(TRIM(E91),'設定'!$J$12:$J$31,0)),""),""))</f>
        <v/>
      </c>
      <c r="K91" s="30">
        <f>IF(AND(ISNUMBER(F91),ISNUMBER(J91)),ROUND(F91*J91,0),IF(ISNUMBER(I91),I91,""))</f>
        <v/>
      </c>
      <c r="L91" s="33" t="n"/>
      <c r="M91" s="34">
        <f>IF(COUNTA(A91:B91,D91:I91,L91)=0,"",IF(B91="","案件番号がありません",IF(ISNA(MATCH(B91,'案件'!$A$6:$A$105,0)),"案件シートに無い番号です",IF(NOT(OR(D91="材料費",D91="労務費",D91="外注費",D91="経費")),"費目を4つから選んでください",IF(K91="",IF(AND(ISNUMBER(F91),NOT(ISNUMBER(J91))),IF(D91="労務費","単価がありません（設定の作業者名と同じ書き方に）","単価がありません"),IF(AND(ISNUMBER(J91),NOT(ISNUMBER(F91))),"数量がありません","金額がありません")),IF(NOT(ISNUMBER(A91)),"日付がありません（月別集計に入りません）",IF(AND(ISNUMBER(F91),ISNUMBER(J91),ISNUMBER(I91)),"数量×単価を使いました（金額の欄は使っていません）","")))))))</f>
        <v/>
      </c>
      <c r="N91" s="91">
        <f>IF(AND(B91&lt;&gt;"",B91='案件カード'!$C$3),COUNTIF($B$5:B91,'案件カード'!$C$3),"")</f>
        <v/>
      </c>
      <c r="O91" s="91">
        <f>IF(ISNUMBER(K91),IF(B91="",K91,IF(AND(ISNUMBER(MATCH(B91,'案件'!$A$6:$A$105,0)),OR(D91="材料費",D91="労務費",D91="外注費",D91="経費")),0,K91)),0)</f>
        <v/>
      </c>
    </row>
    <row r="92" ht="16" customHeight="1">
      <c r="A92" s="35" t="n"/>
      <c r="B92" s="36" t="n"/>
      <c r="C92" s="37">
        <f>IF(B92="","",IFERROR(INDEX('案件'!$B$6:$B$105,MATCH(B92,'案件'!$A$6:$A$105,0))&amp;"","（案件シートに無い番号）"))</f>
        <v/>
      </c>
      <c r="D92" s="36" t="n"/>
      <c r="E92" s="38" t="n"/>
      <c r="F92" s="39" t="n"/>
      <c r="G92" s="36" t="n"/>
      <c r="H92" s="40" t="n"/>
      <c r="I92" s="40" t="n"/>
      <c r="J92" s="41">
        <f>IF(ISNUMBER(H92),H92,IF(AND(D92="労務費",TRIM(E92)&lt;&gt;""),IFERROR(INDEX('設定'!$G$12:$G$31,MATCH(TRIM(E92),'設定'!$J$12:$J$31,0)),""),""))</f>
        <v/>
      </c>
      <c r="K92" s="30">
        <f>IF(AND(ISNUMBER(F92),ISNUMBER(J92)),ROUND(F92*J92,0),IF(ISNUMBER(I92),I92,""))</f>
        <v/>
      </c>
      <c r="L92" s="33" t="n"/>
      <c r="M92" s="34">
        <f>IF(COUNTA(A92:B92,D92:I92,L92)=0,"",IF(B92="","案件番号がありません",IF(ISNA(MATCH(B92,'案件'!$A$6:$A$105,0)),"案件シートに無い番号です",IF(NOT(OR(D92="材料費",D92="労務費",D92="外注費",D92="経費")),"費目を4つから選んでください",IF(K92="",IF(AND(ISNUMBER(F92),NOT(ISNUMBER(J92))),IF(D92="労務費","単価がありません（設定の作業者名と同じ書き方に）","単価がありません"),IF(AND(ISNUMBER(J92),NOT(ISNUMBER(F92))),"数量がありません","金額がありません")),IF(NOT(ISNUMBER(A92)),"日付がありません（月別集計に入りません）",IF(AND(ISNUMBER(F92),ISNUMBER(J92),ISNUMBER(I92)),"数量×単価を使いました（金額の欄は使っていません）","")))))))</f>
        <v/>
      </c>
      <c r="N92" s="91">
        <f>IF(AND(B92&lt;&gt;"",B92='案件カード'!$C$3),COUNTIF($B$5:B92,'案件カード'!$C$3),"")</f>
        <v/>
      </c>
      <c r="O92" s="91">
        <f>IF(ISNUMBER(K92),IF(B92="",K92,IF(AND(ISNUMBER(MATCH(B92,'案件'!$A$6:$A$105,0)),OR(D92="材料費",D92="労務費",D92="外注費",D92="経費")),0,K92)),0)</f>
        <v/>
      </c>
    </row>
    <row r="93" ht="16" customHeight="1">
      <c r="A93" s="35" t="n"/>
      <c r="B93" s="36" t="n"/>
      <c r="C93" s="37">
        <f>IF(B93="","",IFERROR(INDEX('案件'!$B$6:$B$105,MATCH(B93,'案件'!$A$6:$A$105,0))&amp;"","（案件シートに無い番号）"))</f>
        <v/>
      </c>
      <c r="D93" s="36" t="n"/>
      <c r="E93" s="38" t="n"/>
      <c r="F93" s="39" t="n"/>
      <c r="G93" s="36" t="n"/>
      <c r="H93" s="40" t="n"/>
      <c r="I93" s="40" t="n"/>
      <c r="J93" s="41">
        <f>IF(ISNUMBER(H93),H93,IF(AND(D93="労務費",TRIM(E93)&lt;&gt;""),IFERROR(INDEX('設定'!$G$12:$G$31,MATCH(TRIM(E93),'設定'!$J$12:$J$31,0)),""),""))</f>
        <v/>
      </c>
      <c r="K93" s="30">
        <f>IF(AND(ISNUMBER(F93),ISNUMBER(J93)),ROUND(F93*J93,0),IF(ISNUMBER(I93),I93,""))</f>
        <v/>
      </c>
      <c r="L93" s="33" t="n"/>
      <c r="M93" s="34">
        <f>IF(COUNTA(A93:B93,D93:I93,L93)=0,"",IF(B93="","案件番号がありません",IF(ISNA(MATCH(B93,'案件'!$A$6:$A$105,0)),"案件シートに無い番号です",IF(NOT(OR(D93="材料費",D93="労務費",D93="外注費",D93="経費")),"費目を4つから選んでください",IF(K93="",IF(AND(ISNUMBER(F93),NOT(ISNUMBER(J93))),IF(D93="労務費","単価がありません（設定の作業者名と同じ書き方に）","単価がありません"),IF(AND(ISNUMBER(J93),NOT(ISNUMBER(F93))),"数量がありません","金額がありません")),IF(NOT(ISNUMBER(A93)),"日付がありません（月別集計に入りません）",IF(AND(ISNUMBER(F93),ISNUMBER(J93),ISNUMBER(I93)),"数量×単価を使いました（金額の欄は使っていません）","")))))))</f>
        <v/>
      </c>
      <c r="N93" s="91">
        <f>IF(AND(B93&lt;&gt;"",B93='案件カード'!$C$3),COUNTIF($B$5:B93,'案件カード'!$C$3),"")</f>
        <v/>
      </c>
      <c r="O93" s="91">
        <f>IF(ISNUMBER(K93),IF(B93="",K93,IF(AND(ISNUMBER(MATCH(B93,'案件'!$A$6:$A$105,0)),OR(D93="材料費",D93="労務費",D93="外注費",D93="経費")),0,K93)),0)</f>
        <v/>
      </c>
    </row>
    <row r="94" ht="16" customHeight="1">
      <c r="A94" s="35" t="n"/>
      <c r="B94" s="36" t="n"/>
      <c r="C94" s="37">
        <f>IF(B94="","",IFERROR(INDEX('案件'!$B$6:$B$105,MATCH(B94,'案件'!$A$6:$A$105,0))&amp;"","（案件シートに無い番号）"))</f>
        <v/>
      </c>
      <c r="D94" s="36" t="n"/>
      <c r="E94" s="38" t="n"/>
      <c r="F94" s="39" t="n"/>
      <c r="G94" s="36" t="n"/>
      <c r="H94" s="40" t="n"/>
      <c r="I94" s="40" t="n"/>
      <c r="J94" s="41">
        <f>IF(ISNUMBER(H94),H94,IF(AND(D94="労務費",TRIM(E94)&lt;&gt;""),IFERROR(INDEX('設定'!$G$12:$G$31,MATCH(TRIM(E94),'設定'!$J$12:$J$31,0)),""),""))</f>
        <v/>
      </c>
      <c r="K94" s="30">
        <f>IF(AND(ISNUMBER(F94),ISNUMBER(J94)),ROUND(F94*J94,0),IF(ISNUMBER(I94),I94,""))</f>
        <v/>
      </c>
      <c r="L94" s="33" t="n"/>
      <c r="M94" s="34">
        <f>IF(COUNTA(A94:B94,D94:I94,L94)=0,"",IF(B94="","案件番号がありません",IF(ISNA(MATCH(B94,'案件'!$A$6:$A$105,0)),"案件シートに無い番号です",IF(NOT(OR(D94="材料費",D94="労務費",D94="外注費",D94="経費")),"費目を4つから選んでください",IF(K94="",IF(AND(ISNUMBER(F94),NOT(ISNUMBER(J94))),IF(D94="労務費","単価がありません（設定の作業者名と同じ書き方に）","単価がありません"),IF(AND(ISNUMBER(J94),NOT(ISNUMBER(F94))),"数量がありません","金額がありません")),IF(NOT(ISNUMBER(A94)),"日付がありません（月別集計に入りません）",IF(AND(ISNUMBER(F94),ISNUMBER(J94),ISNUMBER(I94)),"数量×単価を使いました（金額の欄は使っていません）","")))))))</f>
        <v/>
      </c>
      <c r="N94" s="91">
        <f>IF(AND(B94&lt;&gt;"",B94='案件カード'!$C$3),COUNTIF($B$5:B94,'案件カード'!$C$3),"")</f>
        <v/>
      </c>
      <c r="O94" s="91">
        <f>IF(ISNUMBER(K94),IF(B94="",K94,IF(AND(ISNUMBER(MATCH(B94,'案件'!$A$6:$A$105,0)),OR(D94="材料費",D94="労務費",D94="外注費",D94="経費")),0,K94)),0)</f>
        <v/>
      </c>
    </row>
    <row r="95" ht="16" customHeight="1">
      <c r="A95" s="35" t="n"/>
      <c r="B95" s="36" t="n"/>
      <c r="C95" s="37">
        <f>IF(B95="","",IFERROR(INDEX('案件'!$B$6:$B$105,MATCH(B95,'案件'!$A$6:$A$105,0))&amp;"","（案件シートに無い番号）"))</f>
        <v/>
      </c>
      <c r="D95" s="36" t="n"/>
      <c r="E95" s="38" t="n"/>
      <c r="F95" s="39" t="n"/>
      <c r="G95" s="36" t="n"/>
      <c r="H95" s="40" t="n"/>
      <c r="I95" s="40" t="n"/>
      <c r="J95" s="41">
        <f>IF(ISNUMBER(H95),H95,IF(AND(D95="労務費",TRIM(E95)&lt;&gt;""),IFERROR(INDEX('設定'!$G$12:$G$31,MATCH(TRIM(E95),'設定'!$J$12:$J$31,0)),""),""))</f>
        <v/>
      </c>
      <c r="K95" s="30">
        <f>IF(AND(ISNUMBER(F95),ISNUMBER(J95)),ROUND(F95*J95,0),IF(ISNUMBER(I95),I95,""))</f>
        <v/>
      </c>
      <c r="L95" s="33" t="n"/>
      <c r="M95" s="34">
        <f>IF(COUNTA(A95:B95,D95:I95,L95)=0,"",IF(B95="","案件番号がありません",IF(ISNA(MATCH(B95,'案件'!$A$6:$A$105,0)),"案件シートに無い番号です",IF(NOT(OR(D95="材料費",D95="労務費",D95="外注費",D95="経費")),"費目を4つから選んでください",IF(K95="",IF(AND(ISNUMBER(F95),NOT(ISNUMBER(J95))),IF(D95="労務費","単価がありません（設定の作業者名と同じ書き方に）","単価がありません"),IF(AND(ISNUMBER(J95),NOT(ISNUMBER(F95))),"数量がありません","金額がありません")),IF(NOT(ISNUMBER(A95)),"日付がありません（月別集計に入りません）",IF(AND(ISNUMBER(F95),ISNUMBER(J95),ISNUMBER(I95)),"数量×単価を使いました（金額の欄は使っていません）","")))))))</f>
        <v/>
      </c>
      <c r="N95" s="91">
        <f>IF(AND(B95&lt;&gt;"",B95='案件カード'!$C$3),COUNTIF($B$5:B95,'案件カード'!$C$3),"")</f>
        <v/>
      </c>
      <c r="O95" s="91">
        <f>IF(ISNUMBER(K95),IF(B95="",K95,IF(AND(ISNUMBER(MATCH(B95,'案件'!$A$6:$A$105,0)),OR(D95="材料費",D95="労務費",D95="外注費",D95="経費")),0,K95)),0)</f>
        <v/>
      </c>
    </row>
    <row r="96" ht="16" customHeight="1">
      <c r="A96" s="35" t="n"/>
      <c r="B96" s="36" t="n"/>
      <c r="C96" s="37">
        <f>IF(B96="","",IFERROR(INDEX('案件'!$B$6:$B$105,MATCH(B96,'案件'!$A$6:$A$105,0))&amp;"","（案件シートに無い番号）"))</f>
        <v/>
      </c>
      <c r="D96" s="36" t="n"/>
      <c r="E96" s="38" t="n"/>
      <c r="F96" s="39" t="n"/>
      <c r="G96" s="36" t="n"/>
      <c r="H96" s="40" t="n"/>
      <c r="I96" s="40" t="n"/>
      <c r="J96" s="41">
        <f>IF(ISNUMBER(H96),H96,IF(AND(D96="労務費",TRIM(E96)&lt;&gt;""),IFERROR(INDEX('設定'!$G$12:$G$31,MATCH(TRIM(E96),'設定'!$J$12:$J$31,0)),""),""))</f>
        <v/>
      </c>
      <c r="K96" s="30">
        <f>IF(AND(ISNUMBER(F96),ISNUMBER(J96)),ROUND(F96*J96,0),IF(ISNUMBER(I96),I96,""))</f>
        <v/>
      </c>
      <c r="L96" s="33" t="n"/>
      <c r="M96" s="34">
        <f>IF(COUNTA(A96:B96,D96:I96,L96)=0,"",IF(B96="","案件番号がありません",IF(ISNA(MATCH(B96,'案件'!$A$6:$A$105,0)),"案件シートに無い番号です",IF(NOT(OR(D96="材料費",D96="労務費",D96="外注費",D96="経費")),"費目を4つから選んでください",IF(K96="",IF(AND(ISNUMBER(F96),NOT(ISNUMBER(J96))),IF(D96="労務費","単価がありません（設定の作業者名と同じ書き方に）","単価がありません"),IF(AND(ISNUMBER(J96),NOT(ISNUMBER(F96))),"数量がありません","金額がありません")),IF(NOT(ISNUMBER(A96)),"日付がありません（月別集計に入りません）",IF(AND(ISNUMBER(F96),ISNUMBER(J96),ISNUMBER(I96)),"数量×単価を使いました（金額の欄は使っていません）","")))))))</f>
        <v/>
      </c>
      <c r="N96" s="91">
        <f>IF(AND(B96&lt;&gt;"",B96='案件カード'!$C$3),COUNTIF($B$5:B96,'案件カード'!$C$3),"")</f>
        <v/>
      </c>
      <c r="O96" s="91">
        <f>IF(ISNUMBER(K96),IF(B96="",K96,IF(AND(ISNUMBER(MATCH(B96,'案件'!$A$6:$A$105,0)),OR(D96="材料費",D96="労務費",D96="外注費",D96="経費")),0,K96)),0)</f>
        <v/>
      </c>
    </row>
    <row r="97" ht="16" customHeight="1">
      <c r="A97" s="35" t="n"/>
      <c r="B97" s="36" t="n"/>
      <c r="C97" s="37">
        <f>IF(B97="","",IFERROR(INDEX('案件'!$B$6:$B$105,MATCH(B97,'案件'!$A$6:$A$105,0))&amp;"","（案件シートに無い番号）"))</f>
        <v/>
      </c>
      <c r="D97" s="36" t="n"/>
      <c r="E97" s="38" t="n"/>
      <c r="F97" s="39" t="n"/>
      <c r="G97" s="36" t="n"/>
      <c r="H97" s="40" t="n"/>
      <c r="I97" s="40" t="n"/>
      <c r="J97" s="41">
        <f>IF(ISNUMBER(H97),H97,IF(AND(D97="労務費",TRIM(E97)&lt;&gt;""),IFERROR(INDEX('設定'!$G$12:$G$31,MATCH(TRIM(E97),'設定'!$J$12:$J$31,0)),""),""))</f>
        <v/>
      </c>
      <c r="K97" s="30">
        <f>IF(AND(ISNUMBER(F97),ISNUMBER(J97)),ROUND(F97*J97,0),IF(ISNUMBER(I97),I97,""))</f>
        <v/>
      </c>
      <c r="L97" s="33" t="n"/>
      <c r="M97" s="34">
        <f>IF(COUNTA(A97:B97,D97:I97,L97)=0,"",IF(B97="","案件番号がありません",IF(ISNA(MATCH(B97,'案件'!$A$6:$A$105,0)),"案件シートに無い番号です",IF(NOT(OR(D97="材料費",D97="労務費",D97="外注費",D97="経費")),"費目を4つから選んでください",IF(K97="",IF(AND(ISNUMBER(F97),NOT(ISNUMBER(J97))),IF(D97="労務費","単価がありません（設定の作業者名と同じ書き方に）","単価がありません"),IF(AND(ISNUMBER(J97),NOT(ISNUMBER(F97))),"数量がありません","金額がありません")),IF(NOT(ISNUMBER(A97)),"日付がありません（月別集計に入りません）",IF(AND(ISNUMBER(F97),ISNUMBER(J97),ISNUMBER(I97)),"数量×単価を使いました（金額の欄は使っていません）","")))))))</f>
        <v/>
      </c>
      <c r="N97" s="91">
        <f>IF(AND(B97&lt;&gt;"",B97='案件カード'!$C$3),COUNTIF($B$5:B97,'案件カード'!$C$3),"")</f>
        <v/>
      </c>
      <c r="O97" s="91">
        <f>IF(ISNUMBER(K97),IF(B97="",K97,IF(AND(ISNUMBER(MATCH(B97,'案件'!$A$6:$A$105,0)),OR(D97="材料費",D97="労務費",D97="外注費",D97="経費")),0,K97)),0)</f>
        <v/>
      </c>
    </row>
    <row r="98" ht="16" customHeight="1">
      <c r="A98" s="35" t="n"/>
      <c r="B98" s="36" t="n"/>
      <c r="C98" s="37">
        <f>IF(B98="","",IFERROR(INDEX('案件'!$B$6:$B$105,MATCH(B98,'案件'!$A$6:$A$105,0))&amp;"","（案件シートに無い番号）"))</f>
        <v/>
      </c>
      <c r="D98" s="36" t="n"/>
      <c r="E98" s="38" t="n"/>
      <c r="F98" s="39" t="n"/>
      <c r="G98" s="36" t="n"/>
      <c r="H98" s="40" t="n"/>
      <c r="I98" s="40" t="n"/>
      <c r="J98" s="41">
        <f>IF(ISNUMBER(H98),H98,IF(AND(D98="労務費",TRIM(E98)&lt;&gt;""),IFERROR(INDEX('設定'!$G$12:$G$31,MATCH(TRIM(E98),'設定'!$J$12:$J$31,0)),""),""))</f>
        <v/>
      </c>
      <c r="K98" s="30">
        <f>IF(AND(ISNUMBER(F98),ISNUMBER(J98)),ROUND(F98*J98,0),IF(ISNUMBER(I98),I98,""))</f>
        <v/>
      </c>
      <c r="L98" s="33" t="n"/>
      <c r="M98" s="34">
        <f>IF(COUNTA(A98:B98,D98:I98,L98)=0,"",IF(B98="","案件番号がありません",IF(ISNA(MATCH(B98,'案件'!$A$6:$A$105,0)),"案件シートに無い番号です",IF(NOT(OR(D98="材料費",D98="労務費",D98="外注費",D98="経費")),"費目を4つから選んでください",IF(K98="",IF(AND(ISNUMBER(F98),NOT(ISNUMBER(J98))),IF(D98="労務費","単価がありません（設定の作業者名と同じ書き方に）","単価がありません"),IF(AND(ISNUMBER(J98),NOT(ISNUMBER(F98))),"数量がありません","金額がありません")),IF(NOT(ISNUMBER(A98)),"日付がありません（月別集計に入りません）",IF(AND(ISNUMBER(F98),ISNUMBER(J98),ISNUMBER(I98)),"数量×単価を使いました（金額の欄は使っていません）","")))))))</f>
        <v/>
      </c>
      <c r="N98" s="91">
        <f>IF(AND(B98&lt;&gt;"",B98='案件カード'!$C$3),COUNTIF($B$5:B98,'案件カード'!$C$3),"")</f>
        <v/>
      </c>
      <c r="O98" s="91">
        <f>IF(ISNUMBER(K98),IF(B98="",K98,IF(AND(ISNUMBER(MATCH(B98,'案件'!$A$6:$A$105,0)),OR(D98="材料費",D98="労務費",D98="外注費",D98="経費")),0,K98)),0)</f>
        <v/>
      </c>
    </row>
    <row r="99" ht="16" customHeight="1">
      <c r="A99" s="35" t="n"/>
      <c r="B99" s="36" t="n"/>
      <c r="C99" s="37">
        <f>IF(B99="","",IFERROR(INDEX('案件'!$B$6:$B$105,MATCH(B99,'案件'!$A$6:$A$105,0))&amp;"","（案件シートに無い番号）"))</f>
        <v/>
      </c>
      <c r="D99" s="36" t="n"/>
      <c r="E99" s="38" t="n"/>
      <c r="F99" s="39" t="n"/>
      <c r="G99" s="36" t="n"/>
      <c r="H99" s="40" t="n"/>
      <c r="I99" s="40" t="n"/>
      <c r="J99" s="41">
        <f>IF(ISNUMBER(H99),H99,IF(AND(D99="労務費",TRIM(E99)&lt;&gt;""),IFERROR(INDEX('設定'!$G$12:$G$31,MATCH(TRIM(E99),'設定'!$J$12:$J$31,0)),""),""))</f>
        <v/>
      </c>
      <c r="K99" s="30">
        <f>IF(AND(ISNUMBER(F99),ISNUMBER(J99)),ROUND(F99*J99,0),IF(ISNUMBER(I99),I99,""))</f>
        <v/>
      </c>
      <c r="L99" s="33" t="n"/>
      <c r="M99" s="34">
        <f>IF(COUNTA(A99:B99,D99:I99,L99)=0,"",IF(B99="","案件番号がありません",IF(ISNA(MATCH(B99,'案件'!$A$6:$A$105,0)),"案件シートに無い番号です",IF(NOT(OR(D99="材料費",D99="労務費",D99="外注費",D99="経費")),"費目を4つから選んでください",IF(K99="",IF(AND(ISNUMBER(F99),NOT(ISNUMBER(J99))),IF(D99="労務費","単価がありません（設定の作業者名と同じ書き方に）","単価がありません"),IF(AND(ISNUMBER(J99),NOT(ISNUMBER(F99))),"数量がありません","金額がありません")),IF(NOT(ISNUMBER(A99)),"日付がありません（月別集計に入りません）",IF(AND(ISNUMBER(F99),ISNUMBER(J99),ISNUMBER(I99)),"数量×単価を使いました（金額の欄は使っていません）","")))))))</f>
        <v/>
      </c>
      <c r="N99" s="91">
        <f>IF(AND(B99&lt;&gt;"",B99='案件カード'!$C$3),COUNTIF($B$5:B99,'案件カード'!$C$3),"")</f>
        <v/>
      </c>
      <c r="O99" s="91">
        <f>IF(ISNUMBER(K99),IF(B99="",K99,IF(AND(ISNUMBER(MATCH(B99,'案件'!$A$6:$A$105,0)),OR(D99="材料費",D99="労務費",D99="外注費",D99="経費")),0,K99)),0)</f>
        <v/>
      </c>
    </row>
    <row r="100" ht="16" customHeight="1">
      <c r="A100" s="35" t="n"/>
      <c r="B100" s="36" t="n"/>
      <c r="C100" s="37">
        <f>IF(B100="","",IFERROR(INDEX('案件'!$B$6:$B$105,MATCH(B100,'案件'!$A$6:$A$105,0))&amp;"","（案件シートに無い番号）"))</f>
        <v/>
      </c>
      <c r="D100" s="36" t="n"/>
      <c r="E100" s="38" t="n"/>
      <c r="F100" s="39" t="n"/>
      <c r="G100" s="36" t="n"/>
      <c r="H100" s="40" t="n"/>
      <c r="I100" s="40" t="n"/>
      <c r="J100" s="41">
        <f>IF(ISNUMBER(H100),H100,IF(AND(D100="労務費",TRIM(E100)&lt;&gt;""),IFERROR(INDEX('設定'!$G$12:$G$31,MATCH(TRIM(E100),'設定'!$J$12:$J$31,0)),""),""))</f>
        <v/>
      </c>
      <c r="K100" s="30">
        <f>IF(AND(ISNUMBER(F100),ISNUMBER(J100)),ROUND(F100*J100,0),IF(ISNUMBER(I100),I100,""))</f>
        <v/>
      </c>
      <c r="L100" s="33" t="n"/>
      <c r="M100" s="34">
        <f>IF(COUNTA(A100:B100,D100:I100,L100)=0,"",IF(B100="","案件番号がありません",IF(ISNA(MATCH(B100,'案件'!$A$6:$A$105,0)),"案件シートに無い番号です",IF(NOT(OR(D100="材料費",D100="労務費",D100="外注費",D100="経費")),"費目を4つから選んでください",IF(K100="",IF(AND(ISNUMBER(F100),NOT(ISNUMBER(J100))),IF(D100="労務費","単価がありません（設定の作業者名と同じ書き方に）","単価がありません"),IF(AND(ISNUMBER(J100),NOT(ISNUMBER(F100))),"数量がありません","金額がありません")),IF(NOT(ISNUMBER(A100)),"日付がありません（月別集計に入りません）",IF(AND(ISNUMBER(F100),ISNUMBER(J100),ISNUMBER(I100)),"数量×単価を使いました（金額の欄は使っていません）","")))))))</f>
        <v/>
      </c>
      <c r="N100" s="91">
        <f>IF(AND(B100&lt;&gt;"",B100='案件カード'!$C$3),COUNTIF($B$5:B100,'案件カード'!$C$3),"")</f>
        <v/>
      </c>
      <c r="O100" s="91">
        <f>IF(ISNUMBER(K100),IF(B100="",K100,IF(AND(ISNUMBER(MATCH(B100,'案件'!$A$6:$A$105,0)),OR(D100="材料費",D100="労務費",D100="外注費",D100="経費")),0,K100)),0)</f>
        <v/>
      </c>
    </row>
    <row r="101" ht="16" customHeight="1">
      <c r="A101" s="35" t="n"/>
      <c r="B101" s="36" t="n"/>
      <c r="C101" s="37">
        <f>IF(B101="","",IFERROR(INDEX('案件'!$B$6:$B$105,MATCH(B101,'案件'!$A$6:$A$105,0))&amp;"","（案件シートに無い番号）"))</f>
        <v/>
      </c>
      <c r="D101" s="36" t="n"/>
      <c r="E101" s="38" t="n"/>
      <c r="F101" s="39" t="n"/>
      <c r="G101" s="36" t="n"/>
      <c r="H101" s="40" t="n"/>
      <c r="I101" s="40" t="n"/>
      <c r="J101" s="41">
        <f>IF(ISNUMBER(H101),H101,IF(AND(D101="労務費",TRIM(E101)&lt;&gt;""),IFERROR(INDEX('設定'!$G$12:$G$31,MATCH(TRIM(E101),'設定'!$J$12:$J$31,0)),""),""))</f>
        <v/>
      </c>
      <c r="K101" s="30">
        <f>IF(AND(ISNUMBER(F101),ISNUMBER(J101)),ROUND(F101*J101,0),IF(ISNUMBER(I101),I101,""))</f>
        <v/>
      </c>
      <c r="L101" s="33" t="n"/>
      <c r="M101" s="34">
        <f>IF(COUNTA(A101:B101,D101:I101,L101)=0,"",IF(B101="","案件番号がありません",IF(ISNA(MATCH(B101,'案件'!$A$6:$A$105,0)),"案件シートに無い番号です",IF(NOT(OR(D101="材料費",D101="労務費",D101="外注費",D101="経費")),"費目を4つから選んでください",IF(K101="",IF(AND(ISNUMBER(F101),NOT(ISNUMBER(J101))),IF(D101="労務費","単価がありません（設定の作業者名と同じ書き方に）","単価がありません"),IF(AND(ISNUMBER(J101),NOT(ISNUMBER(F101))),"数量がありません","金額がありません")),IF(NOT(ISNUMBER(A101)),"日付がありません（月別集計に入りません）",IF(AND(ISNUMBER(F101),ISNUMBER(J101),ISNUMBER(I101)),"数量×単価を使いました（金額の欄は使っていません）","")))))))</f>
        <v/>
      </c>
      <c r="N101" s="91">
        <f>IF(AND(B101&lt;&gt;"",B101='案件カード'!$C$3),COUNTIF($B$5:B101,'案件カード'!$C$3),"")</f>
        <v/>
      </c>
      <c r="O101" s="91">
        <f>IF(ISNUMBER(K101),IF(B101="",K101,IF(AND(ISNUMBER(MATCH(B101,'案件'!$A$6:$A$105,0)),OR(D101="材料費",D101="労務費",D101="外注費",D101="経費")),0,K101)),0)</f>
        <v/>
      </c>
    </row>
    <row r="102" ht="16" customHeight="1">
      <c r="A102" s="35" t="n"/>
      <c r="B102" s="36" t="n"/>
      <c r="C102" s="37">
        <f>IF(B102="","",IFERROR(INDEX('案件'!$B$6:$B$105,MATCH(B102,'案件'!$A$6:$A$105,0))&amp;"","（案件シートに無い番号）"))</f>
        <v/>
      </c>
      <c r="D102" s="36" t="n"/>
      <c r="E102" s="38" t="n"/>
      <c r="F102" s="39" t="n"/>
      <c r="G102" s="36" t="n"/>
      <c r="H102" s="40" t="n"/>
      <c r="I102" s="40" t="n"/>
      <c r="J102" s="41">
        <f>IF(ISNUMBER(H102),H102,IF(AND(D102="労務費",TRIM(E102)&lt;&gt;""),IFERROR(INDEX('設定'!$G$12:$G$31,MATCH(TRIM(E102),'設定'!$J$12:$J$31,0)),""),""))</f>
        <v/>
      </c>
      <c r="K102" s="30">
        <f>IF(AND(ISNUMBER(F102),ISNUMBER(J102)),ROUND(F102*J102,0),IF(ISNUMBER(I102),I102,""))</f>
        <v/>
      </c>
      <c r="L102" s="33" t="n"/>
      <c r="M102" s="34">
        <f>IF(COUNTA(A102:B102,D102:I102,L102)=0,"",IF(B102="","案件番号がありません",IF(ISNA(MATCH(B102,'案件'!$A$6:$A$105,0)),"案件シートに無い番号です",IF(NOT(OR(D102="材料費",D102="労務費",D102="外注費",D102="経費")),"費目を4つから選んでください",IF(K102="",IF(AND(ISNUMBER(F102),NOT(ISNUMBER(J102))),IF(D102="労務費","単価がありません（設定の作業者名と同じ書き方に）","単価がありません"),IF(AND(ISNUMBER(J102),NOT(ISNUMBER(F102))),"数量がありません","金額がありません")),IF(NOT(ISNUMBER(A102)),"日付がありません（月別集計に入りません）",IF(AND(ISNUMBER(F102),ISNUMBER(J102),ISNUMBER(I102)),"数量×単価を使いました（金額の欄は使っていません）","")))))))</f>
        <v/>
      </c>
      <c r="N102" s="91">
        <f>IF(AND(B102&lt;&gt;"",B102='案件カード'!$C$3),COUNTIF($B$5:B102,'案件カード'!$C$3),"")</f>
        <v/>
      </c>
      <c r="O102" s="91">
        <f>IF(ISNUMBER(K102),IF(B102="",K102,IF(AND(ISNUMBER(MATCH(B102,'案件'!$A$6:$A$105,0)),OR(D102="材料費",D102="労務費",D102="外注費",D102="経費")),0,K102)),0)</f>
        <v/>
      </c>
    </row>
    <row r="103" ht="16" customHeight="1">
      <c r="A103" s="35" t="n"/>
      <c r="B103" s="36" t="n"/>
      <c r="C103" s="37">
        <f>IF(B103="","",IFERROR(INDEX('案件'!$B$6:$B$105,MATCH(B103,'案件'!$A$6:$A$105,0))&amp;"","（案件シートに無い番号）"))</f>
        <v/>
      </c>
      <c r="D103" s="36" t="n"/>
      <c r="E103" s="38" t="n"/>
      <c r="F103" s="39" t="n"/>
      <c r="G103" s="36" t="n"/>
      <c r="H103" s="40" t="n"/>
      <c r="I103" s="40" t="n"/>
      <c r="J103" s="41">
        <f>IF(ISNUMBER(H103),H103,IF(AND(D103="労務費",TRIM(E103)&lt;&gt;""),IFERROR(INDEX('設定'!$G$12:$G$31,MATCH(TRIM(E103),'設定'!$J$12:$J$31,0)),""),""))</f>
        <v/>
      </c>
      <c r="K103" s="30">
        <f>IF(AND(ISNUMBER(F103),ISNUMBER(J103)),ROUND(F103*J103,0),IF(ISNUMBER(I103),I103,""))</f>
        <v/>
      </c>
      <c r="L103" s="33" t="n"/>
      <c r="M103" s="34">
        <f>IF(COUNTA(A103:B103,D103:I103,L103)=0,"",IF(B103="","案件番号がありません",IF(ISNA(MATCH(B103,'案件'!$A$6:$A$105,0)),"案件シートに無い番号です",IF(NOT(OR(D103="材料費",D103="労務費",D103="外注費",D103="経費")),"費目を4つから選んでください",IF(K103="",IF(AND(ISNUMBER(F103),NOT(ISNUMBER(J103))),IF(D103="労務費","単価がありません（設定の作業者名と同じ書き方に）","単価がありません"),IF(AND(ISNUMBER(J103),NOT(ISNUMBER(F103))),"数量がありません","金額がありません")),IF(NOT(ISNUMBER(A103)),"日付がありません（月別集計に入りません）",IF(AND(ISNUMBER(F103),ISNUMBER(J103),ISNUMBER(I103)),"数量×単価を使いました（金額の欄は使っていません）","")))))))</f>
        <v/>
      </c>
      <c r="N103" s="91">
        <f>IF(AND(B103&lt;&gt;"",B103='案件カード'!$C$3),COUNTIF($B$5:B103,'案件カード'!$C$3),"")</f>
        <v/>
      </c>
      <c r="O103" s="91">
        <f>IF(ISNUMBER(K103),IF(B103="",K103,IF(AND(ISNUMBER(MATCH(B103,'案件'!$A$6:$A$105,0)),OR(D103="材料費",D103="労務費",D103="外注費",D103="経費")),0,K103)),0)</f>
        <v/>
      </c>
    </row>
    <row r="104" ht="16" customHeight="1">
      <c r="A104" s="35" t="n"/>
      <c r="B104" s="36" t="n"/>
      <c r="C104" s="37">
        <f>IF(B104="","",IFERROR(INDEX('案件'!$B$6:$B$105,MATCH(B104,'案件'!$A$6:$A$105,0))&amp;"","（案件シートに無い番号）"))</f>
        <v/>
      </c>
      <c r="D104" s="36" t="n"/>
      <c r="E104" s="38" t="n"/>
      <c r="F104" s="39" t="n"/>
      <c r="G104" s="36" t="n"/>
      <c r="H104" s="40" t="n"/>
      <c r="I104" s="40" t="n"/>
      <c r="J104" s="41">
        <f>IF(ISNUMBER(H104),H104,IF(AND(D104="労務費",TRIM(E104)&lt;&gt;""),IFERROR(INDEX('設定'!$G$12:$G$31,MATCH(TRIM(E104),'設定'!$J$12:$J$31,0)),""),""))</f>
        <v/>
      </c>
      <c r="K104" s="30">
        <f>IF(AND(ISNUMBER(F104),ISNUMBER(J104)),ROUND(F104*J104,0),IF(ISNUMBER(I104),I104,""))</f>
        <v/>
      </c>
      <c r="L104" s="33" t="n"/>
      <c r="M104" s="34">
        <f>IF(COUNTA(A104:B104,D104:I104,L104)=0,"",IF(B104="","案件番号がありません",IF(ISNA(MATCH(B104,'案件'!$A$6:$A$105,0)),"案件シートに無い番号です",IF(NOT(OR(D104="材料費",D104="労務費",D104="外注費",D104="経費")),"費目を4つから選んでください",IF(K104="",IF(AND(ISNUMBER(F104),NOT(ISNUMBER(J104))),IF(D104="労務費","単価がありません（設定の作業者名と同じ書き方に）","単価がありません"),IF(AND(ISNUMBER(J104),NOT(ISNUMBER(F104))),"数量がありません","金額がありません")),IF(NOT(ISNUMBER(A104)),"日付がありません（月別集計に入りません）",IF(AND(ISNUMBER(F104),ISNUMBER(J104),ISNUMBER(I104)),"数量×単価を使いました（金額の欄は使っていません）","")))))))</f>
        <v/>
      </c>
      <c r="N104" s="91">
        <f>IF(AND(B104&lt;&gt;"",B104='案件カード'!$C$3),COUNTIF($B$5:B104,'案件カード'!$C$3),"")</f>
        <v/>
      </c>
      <c r="O104" s="91">
        <f>IF(ISNUMBER(K104),IF(B104="",K104,IF(AND(ISNUMBER(MATCH(B104,'案件'!$A$6:$A$105,0)),OR(D104="材料費",D104="労務費",D104="外注費",D104="経費")),0,K104)),0)</f>
        <v/>
      </c>
    </row>
    <row r="105" ht="16" customHeight="1">
      <c r="A105" s="35" t="n"/>
      <c r="B105" s="36" t="n"/>
      <c r="C105" s="37">
        <f>IF(B105="","",IFERROR(INDEX('案件'!$B$6:$B$105,MATCH(B105,'案件'!$A$6:$A$105,0))&amp;"","（案件シートに無い番号）"))</f>
        <v/>
      </c>
      <c r="D105" s="36" t="n"/>
      <c r="E105" s="38" t="n"/>
      <c r="F105" s="39" t="n"/>
      <c r="G105" s="36" t="n"/>
      <c r="H105" s="40" t="n"/>
      <c r="I105" s="40" t="n"/>
      <c r="J105" s="41">
        <f>IF(ISNUMBER(H105),H105,IF(AND(D105="労務費",TRIM(E105)&lt;&gt;""),IFERROR(INDEX('設定'!$G$12:$G$31,MATCH(TRIM(E105),'設定'!$J$12:$J$31,0)),""),""))</f>
        <v/>
      </c>
      <c r="K105" s="30">
        <f>IF(AND(ISNUMBER(F105),ISNUMBER(J105)),ROUND(F105*J105,0),IF(ISNUMBER(I105),I105,""))</f>
        <v/>
      </c>
      <c r="L105" s="33" t="n"/>
      <c r="M105" s="34">
        <f>IF(COUNTA(A105:B105,D105:I105,L105)=0,"",IF(B105="","案件番号がありません",IF(ISNA(MATCH(B105,'案件'!$A$6:$A$105,0)),"案件シートに無い番号です",IF(NOT(OR(D105="材料費",D105="労務費",D105="外注費",D105="経費")),"費目を4つから選んでください",IF(K105="",IF(AND(ISNUMBER(F105),NOT(ISNUMBER(J105))),IF(D105="労務費","単価がありません（設定の作業者名と同じ書き方に）","単価がありません"),IF(AND(ISNUMBER(J105),NOT(ISNUMBER(F105))),"数量がありません","金額がありません")),IF(NOT(ISNUMBER(A105)),"日付がありません（月別集計に入りません）",IF(AND(ISNUMBER(F105),ISNUMBER(J105),ISNUMBER(I105)),"数量×単価を使いました（金額の欄は使っていません）","")))))))</f>
        <v/>
      </c>
      <c r="N105" s="91">
        <f>IF(AND(B105&lt;&gt;"",B105='案件カード'!$C$3),COUNTIF($B$5:B105,'案件カード'!$C$3),"")</f>
        <v/>
      </c>
      <c r="O105" s="91">
        <f>IF(ISNUMBER(K105),IF(B105="",K105,IF(AND(ISNUMBER(MATCH(B105,'案件'!$A$6:$A$105,0)),OR(D105="材料費",D105="労務費",D105="外注費",D105="経費")),0,K105)),0)</f>
        <v/>
      </c>
    </row>
    <row r="106" ht="16" customHeight="1">
      <c r="A106" s="35" t="n"/>
      <c r="B106" s="36" t="n"/>
      <c r="C106" s="37">
        <f>IF(B106="","",IFERROR(INDEX('案件'!$B$6:$B$105,MATCH(B106,'案件'!$A$6:$A$105,0))&amp;"","（案件シートに無い番号）"))</f>
        <v/>
      </c>
      <c r="D106" s="36" t="n"/>
      <c r="E106" s="38" t="n"/>
      <c r="F106" s="39" t="n"/>
      <c r="G106" s="36" t="n"/>
      <c r="H106" s="40" t="n"/>
      <c r="I106" s="40" t="n"/>
      <c r="J106" s="41">
        <f>IF(ISNUMBER(H106),H106,IF(AND(D106="労務費",TRIM(E106)&lt;&gt;""),IFERROR(INDEX('設定'!$G$12:$G$31,MATCH(TRIM(E106),'設定'!$J$12:$J$31,0)),""),""))</f>
        <v/>
      </c>
      <c r="K106" s="30">
        <f>IF(AND(ISNUMBER(F106),ISNUMBER(J106)),ROUND(F106*J106,0),IF(ISNUMBER(I106),I106,""))</f>
        <v/>
      </c>
      <c r="L106" s="33" t="n"/>
      <c r="M106" s="34">
        <f>IF(COUNTA(A106:B106,D106:I106,L106)=0,"",IF(B106="","案件番号がありません",IF(ISNA(MATCH(B106,'案件'!$A$6:$A$105,0)),"案件シートに無い番号です",IF(NOT(OR(D106="材料費",D106="労務費",D106="外注費",D106="経費")),"費目を4つから選んでください",IF(K106="",IF(AND(ISNUMBER(F106),NOT(ISNUMBER(J106))),IF(D106="労務費","単価がありません（設定の作業者名と同じ書き方に）","単価がありません"),IF(AND(ISNUMBER(J106),NOT(ISNUMBER(F106))),"数量がありません","金額がありません")),IF(NOT(ISNUMBER(A106)),"日付がありません（月別集計に入りません）",IF(AND(ISNUMBER(F106),ISNUMBER(J106),ISNUMBER(I106)),"数量×単価を使いました（金額の欄は使っていません）","")))))))</f>
        <v/>
      </c>
      <c r="N106" s="91">
        <f>IF(AND(B106&lt;&gt;"",B106='案件カード'!$C$3),COUNTIF($B$5:B106,'案件カード'!$C$3),"")</f>
        <v/>
      </c>
      <c r="O106" s="91">
        <f>IF(ISNUMBER(K106),IF(B106="",K106,IF(AND(ISNUMBER(MATCH(B106,'案件'!$A$6:$A$105,0)),OR(D106="材料費",D106="労務費",D106="外注費",D106="経費")),0,K106)),0)</f>
        <v/>
      </c>
    </row>
    <row r="107" ht="16" customHeight="1">
      <c r="A107" s="35" t="n"/>
      <c r="B107" s="36" t="n"/>
      <c r="C107" s="37">
        <f>IF(B107="","",IFERROR(INDEX('案件'!$B$6:$B$105,MATCH(B107,'案件'!$A$6:$A$105,0))&amp;"","（案件シートに無い番号）"))</f>
        <v/>
      </c>
      <c r="D107" s="36" t="n"/>
      <c r="E107" s="38" t="n"/>
      <c r="F107" s="39" t="n"/>
      <c r="G107" s="36" t="n"/>
      <c r="H107" s="40" t="n"/>
      <c r="I107" s="40" t="n"/>
      <c r="J107" s="41">
        <f>IF(ISNUMBER(H107),H107,IF(AND(D107="労務費",TRIM(E107)&lt;&gt;""),IFERROR(INDEX('設定'!$G$12:$G$31,MATCH(TRIM(E107),'設定'!$J$12:$J$31,0)),""),""))</f>
        <v/>
      </c>
      <c r="K107" s="30">
        <f>IF(AND(ISNUMBER(F107),ISNUMBER(J107)),ROUND(F107*J107,0),IF(ISNUMBER(I107),I107,""))</f>
        <v/>
      </c>
      <c r="L107" s="33" t="n"/>
      <c r="M107" s="34">
        <f>IF(COUNTA(A107:B107,D107:I107,L107)=0,"",IF(B107="","案件番号がありません",IF(ISNA(MATCH(B107,'案件'!$A$6:$A$105,0)),"案件シートに無い番号です",IF(NOT(OR(D107="材料費",D107="労務費",D107="外注費",D107="経費")),"費目を4つから選んでください",IF(K107="",IF(AND(ISNUMBER(F107),NOT(ISNUMBER(J107))),IF(D107="労務費","単価がありません（設定の作業者名と同じ書き方に）","単価がありません"),IF(AND(ISNUMBER(J107),NOT(ISNUMBER(F107))),"数量がありません","金額がありません")),IF(NOT(ISNUMBER(A107)),"日付がありません（月別集計に入りません）",IF(AND(ISNUMBER(F107),ISNUMBER(J107),ISNUMBER(I107)),"数量×単価を使いました（金額の欄は使っていません）","")))))))</f>
        <v/>
      </c>
      <c r="N107" s="91">
        <f>IF(AND(B107&lt;&gt;"",B107='案件カード'!$C$3),COUNTIF($B$5:B107,'案件カード'!$C$3),"")</f>
        <v/>
      </c>
      <c r="O107" s="91">
        <f>IF(ISNUMBER(K107),IF(B107="",K107,IF(AND(ISNUMBER(MATCH(B107,'案件'!$A$6:$A$105,0)),OR(D107="材料費",D107="労務費",D107="外注費",D107="経費")),0,K107)),0)</f>
        <v/>
      </c>
    </row>
    <row r="108" ht="16" customHeight="1">
      <c r="A108" s="35" t="n"/>
      <c r="B108" s="36" t="n"/>
      <c r="C108" s="37">
        <f>IF(B108="","",IFERROR(INDEX('案件'!$B$6:$B$105,MATCH(B108,'案件'!$A$6:$A$105,0))&amp;"","（案件シートに無い番号）"))</f>
        <v/>
      </c>
      <c r="D108" s="36" t="n"/>
      <c r="E108" s="38" t="n"/>
      <c r="F108" s="39" t="n"/>
      <c r="G108" s="36" t="n"/>
      <c r="H108" s="40" t="n"/>
      <c r="I108" s="40" t="n"/>
      <c r="J108" s="41">
        <f>IF(ISNUMBER(H108),H108,IF(AND(D108="労務費",TRIM(E108)&lt;&gt;""),IFERROR(INDEX('設定'!$G$12:$G$31,MATCH(TRIM(E108),'設定'!$J$12:$J$31,0)),""),""))</f>
        <v/>
      </c>
      <c r="K108" s="30">
        <f>IF(AND(ISNUMBER(F108),ISNUMBER(J108)),ROUND(F108*J108,0),IF(ISNUMBER(I108),I108,""))</f>
        <v/>
      </c>
      <c r="L108" s="33" t="n"/>
      <c r="M108" s="34">
        <f>IF(COUNTA(A108:B108,D108:I108,L108)=0,"",IF(B108="","案件番号がありません",IF(ISNA(MATCH(B108,'案件'!$A$6:$A$105,0)),"案件シートに無い番号です",IF(NOT(OR(D108="材料費",D108="労務費",D108="外注費",D108="経費")),"費目を4つから選んでください",IF(K108="",IF(AND(ISNUMBER(F108),NOT(ISNUMBER(J108))),IF(D108="労務費","単価がありません（設定の作業者名と同じ書き方に）","単価がありません"),IF(AND(ISNUMBER(J108),NOT(ISNUMBER(F108))),"数量がありません","金額がありません")),IF(NOT(ISNUMBER(A108)),"日付がありません（月別集計に入りません）",IF(AND(ISNUMBER(F108),ISNUMBER(J108),ISNUMBER(I108)),"数量×単価を使いました（金額の欄は使っていません）","")))))))</f>
        <v/>
      </c>
      <c r="N108" s="91">
        <f>IF(AND(B108&lt;&gt;"",B108='案件カード'!$C$3),COUNTIF($B$5:B108,'案件カード'!$C$3),"")</f>
        <v/>
      </c>
      <c r="O108" s="91">
        <f>IF(ISNUMBER(K108),IF(B108="",K108,IF(AND(ISNUMBER(MATCH(B108,'案件'!$A$6:$A$105,0)),OR(D108="材料費",D108="労務費",D108="外注費",D108="経費")),0,K108)),0)</f>
        <v/>
      </c>
    </row>
    <row r="109" ht="16" customHeight="1">
      <c r="A109" s="35" t="n"/>
      <c r="B109" s="36" t="n"/>
      <c r="C109" s="37">
        <f>IF(B109="","",IFERROR(INDEX('案件'!$B$6:$B$105,MATCH(B109,'案件'!$A$6:$A$105,0))&amp;"","（案件シートに無い番号）"))</f>
        <v/>
      </c>
      <c r="D109" s="36" t="n"/>
      <c r="E109" s="38" t="n"/>
      <c r="F109" s="39" t="n"/>
      <c r="G109" s="36" t="n"/>
      <c r="H109" s="40" t="n"/>
      <c r="I109" s="40" t="n"/>
      <c r="J109" s="41">
        <f>IF(ISNUMBER(H109),H109,IF(AND(D109="労務費",TRIM(E109)&lt;&gt;""),IFERROR(INDEX('設定'!$G$12:$G$31,MATCH(TRIM(E109),'設定'!$J$12:$J$31,0)),""),""))</f>
        <v/>
      </c>
      <c r="K109" s="30">
        <f>IF(AND(ISNUMBER(F109),ISNUMBER(J109)),ROUND(F109*J109,0),IF(ISNUMBER(I109),I109,""))</f>
        <v/>
      </c>
      <c r="L109" s="33" t="n"/>
      <c r="M109" s="34">
        <f>IF(COUNTA(A109:B109,D109:I109,L109)=0,"",IF(B109="","案件番号がありません",IF(ISNA(MATCH(B109,'案件'!$A$6:$A$105,0)),"案件シートに無い番号です",IF(NOT(OR(D109="材料費",D109="労務費",D109="外注費",D109="経費")),"費目を4つから選んでください",IF(K109="",IF(AND(ISNUMBER(F109),NOT(ISNUMBER(J109))),IF(D109="労務費","単価がありません（設定の作業者名と同じ書き方に）","単価がありません"),IF(AND(ISNUMBER(J109),NOT(ISNUMBER(F109))),"数量がありません","金額がありません")),IF(NOT(ISNUMBER(A109)),"日付がありません（月別集計に入りません）",IF(AND(ISNUMBER(F109),ISNUMBER(J109),ISNUMBER(I109)),"数量×単価を使いました（金額の欄は使っていません）","")))))))</f>
        <v/>
      </c>
      <c r="N109" s="91">
        <f>IF(AND(B109&lt;&gt;"",B109='案件カード'!$C$3),COUNTIF($B$5:B109,'案件カード'!$C$3),"")</f>
        <v/>
      </c>
      <c r="O109" s="91">
        <f>IF(ISNUMBER(K109),IF(B109="",K109,IF(AND(ISNUMBER(MATCH(B109,'案件'!$A$6:$A$105,0)),OR(D109="材料費",D109="労務費",D109="外注費",D109="経費")),0,K109)),0)</f>
        <v/>
      </c>
    </row>
    <row r="110" ht="16" customHeight="1">
      <c r="A110" s="35" t="n"/>
      <c r="B110" s="36" t="n"/>
      <c r="C110" s="37">
        <f>IF(B110="","",IFERROR(INDEX('案件'!$B$6:$B$105,MATCH(B110,'案件'!$A$6:$A$105,0))&amp;"","（案件シートに無い番号）"))</f>
        <v/>
      </c>
      <c r="D110" s="36" t="n"/>
      <c r="E110" s="38" t="n"/>
      <c r="F110" s="39" t="n"/>
      <c r="G110" s="36" t="n"/>
      <c r="H110" s="40" t="n"/>
      <c r="I110" s="40" t="n"/>
      <c r="J110" s="41">
        <f>IF(ISNUMBER(H110),H110,IF(AND(D110="労務費",TRIM(E110)&lt;&gt;""),IFERROR(INDEX('設定'!$G$12:$G$31,MATCH(TRIM(E110),'設定'!$J$12:$J$31,0)),""),""))</f>
        <v/>
      </c>
      <c r="K110" s="30">
        <f>IF(AND(ISNUMBER(F110),ISNUMBER(J110)),ROUND(F110*J110,0),IF(ISNUMBER(I110),I110,""))</f>
        <v/>
      </c>
      <c r="L110" s="33" t="n"/>
      <c r="M110" s="34">
        <f>IF(COUNTA(A110:B110,D110:I110,L110)=0,"",IF(B110="","案件番号がありません",IF(ISNA(MATCH(B110,'案件'!$A$6:$A$105,0)),"案件シートに無い番号です",IF(NOT(OR(D110="材料費",D110="労務費",D110="外注費",D110="経費")),"費目を4つから選んでください",IF(K110="",IF(AND(ISNUMBER(F110),NOT(ISNUMBER(J110))),IF(D110="労務費","単価がありません（設定の作業者名と同じ書き方に）","単価がありません"),IF(AND(ISNUMBER(J110),NOT(ISNUMBER(F110))),"数量がありません","金額がありません")),IF(NOT(ISNUMBER(A110)),"日付がありません（月別集計に入りません）",IF(AND(ISNUMBER(F110),ISNUMBER(J110),ISNUMBER(I110)),"数量×単価を使いました（金額の欄は使っていません）","")))))))</f>
        <v/>
      </c>
      <c r="N110" s="91">
        <f>IF(AND(B110&lt;&gt;"",B110='案件カード'!$C$3),COUNTIF($B$5:B110,'案件カード'!$C$3),"")</f>
        <v/>
      </c>
      <c r="O110" s="91">
        <f>IF(ISNUMBER(K110),IF(B110="",K110,IF(AND(ISNUMBER(MATCH(B110,'案件'!$A$6:$A$105,0)),OR(D110="材料費",D110="労務費",D110="外注費",D110="経費")),0,K110)),0)</f>
        <v/>
      </c>
    </row>
    <row r="111" ht="16" customHeight="1">
      <c r="A111" s="35" t="n"/>
      <c r="B111" s="36" t="n"/>
      <c r="C111" s="37">
        <f>IF(B111="","",IFERROR(INDEX('案件'!$B$6:$B$105,MATCH(B111,'案件'!$A$6:$A$105,0))&amp;"","（案件シートに無い番号）"))</f>
        <v/>
      </c>
      <c r="D111" s="36" t="n"/>
      <c r="E111" s="38" t="n"/>
      <c r="F111" s="39" t="n"/>
      <c r="G111" s="36" t="n"/>
      <c r="H111" s="40" t="n"/>
      <c r="I111" s="40" t="n"/>
      <c r="J111" s="41">
        <f>IF(ISNUMBER(H111),H111,IF(AND(D111="労務費",TRIM(E111)&lt;&gt;""),IFERROR(INDEX('設定'!$G$12:$G$31,MATCH(TRIM(E111),'設定'!$J$12:$J$31,0)),""),""))</f>
        <v/>
      </c>
      <c r="K111" s="30">
        <f>IF(AND(ISNUMBER(F111),ISNUMBER(J111)),ROUND(F111*J111,0),IF(ISNUMBER(I111),I111,""))</f>
        <v/>
      </c>
      <c r="L111" s="33" t="n"/>
      <c r="M111" s="34">
        <f>IF(COUNTA(A111:B111,D111:I111,L111)=0,"",IF(B111="","案件番号がありません",IF(ISNA(MATCH(B111,'案件'!$A$6:$A$105,0)),"案件シートに無い番号です",IF(NOT(OR(D111="材料費",D111="労務費",D111="外注費",D111="経費")),"費目を4つから選んでください",IF(K111="",IF(AND(ISNUMBER(F111),NOT(ISNUMBER(J111))),IF(D111="労務費","単価がありません（設定の作業者名と同じ書き方に）","単価がありません"),IF(AND(ISNUMBER(J111),NOT(ISNUMBER(F111))),"数量がありません","金額がありません")),IF(NOT(ISNUMBER(A111)),"日付がありません（月別集計に入りません）",IF(AND(ISNUMBER(F111),ISNUMBER(J111),ISNUMBER(I111)),"数量×単価を使いました（金額の欄は使っていません）","")))))))</f>
        <v/>
      </c>
      <c r="N111" s="91">
        <f>IF(AND(B111&lt;&gt;"",B111='案件カード'!$C$3),COUNTIF($B$5:B111,'案件カード'!$C$3),"")</f>
        <v/>
      </c>
      <c r="O111" s="91">
        <f>IF(ISNUMBER(K111),IF(B111="",K111,IF(AND(ISNUMBER(MATCH(B111,'案件'!$A$6:$A$105,0)),OR(D111="材料費",D111="労務費",D111="外注費",D111="経費")),0,K111)),0)</f>
        <v/>
      </c>
    </row>
    <row r="112" ht="16" customHeight="1">
      <c r="A112" s="35" t="n"/>
      <c r="B112" s="36" t="n"/>
      <c r="C112" s="37">
        <f>IF(B112="","",IFERROR(INDEX('案件'!$B$6:$B$105,MATCH(B112,'案件'!$A$6:$A$105,0))&amp;"","（案件シートに無い番号）"))</f>
        <v/>
      </c>
      <c r="D112" s="36" t="n"/>
      <c r="E112" s="38" t="n"/>
      <c r="F112" s="39" t="n"/>
      <c r="G112" s="36" t="n"/>
      <c r="H112" s="40" t="n"/>
      <c r="I112" s="40" t="n"/>
      <c r="J112" s="41">
        <f>IF(ISNUMBER(H112),H112,IF(AND(D112="労務費",TRIM(E112)&lt;&gt;""),IFERROR(INDEX('設定'!$G$12:$G$31,MATCH(TRIM(E112),'設定'!$J$12:$J$31,0)),""),""))</f>
        <v/>
      </c>
      <c r="K112" s="30">
        <f>IF(AND(ISNUMBER(F112),ISNUMBER(J112)),ROUND(F112*J112,0),IF(ISNUMBER(I112),I112,""))</f>
        <v/>
      </c>
      <c r="L112" s="33" t="n"/>
      <c r="M112" s="34">
        <f>IF(COUNTA(A112:B112,D112:I112,L112)=0,"",IF(B112="","案件番号がありません",IF(ISNA(MATCH(B112,'案件'!$A$6:$A$105,0)),"案件シートに無い番号です",IF(NOT(OR(D112="材料費",D112="労務費",D112="外注費",D112="経費")),"費目を4つから選んでください",IF(K112="",IF(AND(ISNUMBER(F112),NOT(ISNUMBER(J112))),IF(D112="労務費","単価がありません（設定の作業者名と同じ書き方に）","単価がありません"),IF(AND(ISNUMBER(J112),NOT(ISNUMBER(F112))),"数量がありません","金額がありません")),IF(NOT(ISNUMBER(A112)),"日付がありません（月別集計に入りません）",IF(AND(ISNUMBER(F112),ISNUMBER(J112),ISNUMBER(I112)),"数量×単価を使いました（金額の欄は使っていません）","")))))))</f>
        <v/>
      </c>
      <c r="N112" s="91">
        <f>IF(AND(B112&lt;&gt;"",B112='案件カード'!$C$3),COUNTIF($B$5:B112,'案件カード'!$C$3),"")</f>
        <v/>
      </c>
      <c r="O112" s="91">
        <f>IF(ISNUMBER(K112),IF(B112="",K112,IF(AND(ISNUMBER(MATCH(B112,'案件'!$A$6:$A$105,0)),OR(D112="材料費",D112="労務費",D112="外注費",D112="経費")),0,K112)),0)</f>
        <v/>
      </c>
    </row>
    <row r="113" ht="16" customHeight="1">
      <c r="A113" s="35" t="n"/>
      <c r="B113" s="36" t="n"/>
      <c r="C113" s="37">
        <f>IF(B113="","",IFERROR(INDEX('案件'!$B$6:$B$105,MATCH(B113,'案件'!$A$6:$A$105,0))&amp;"","（案件シートに無い番号）"))</f>
        <v/>
      </c>
      <c r="D113" s="36" t="n"/>
      <c r="E113" s="38" t="n"/>
      <c r="F113" s="39" t="n"/>
      <c r="G113" s="36" t="n"/>
      <c r="H113" s="40" t="n"/>
      <c r="I113" s="40" t="n"/>
      <c r="J113" s="41">
        <f>IF(ISNUMBER(H113),H113,IF(AND(D113="労務費",TRIM(E113)&lt;&gt;""),IFERROR(INDEX('設定'!$G$12:$G$31,MATCH(TRIM(E113),'設定'!$J$12:$J$31,0)),""),""))</f>
        <v/>
      </c>
      <c r="K113" s="30">
        <f>IF(AND(ISNUMBER(F113),ISNUMBER(J113)),ROUND(F113*J113,0),IF(ISNUMBER(I113),I113,""))</f>
        <v/>
      </c>
      <c r="L113" s="33" t="n"/>
      <c r="M113" s="34">
        <f>IF(COUNTA(A113:B113,D113:I113,L113)=0,"",IF(B113="","案件番号がありません",IF(ISNA(MATCH(B113,'案件'!$A$6:$A$105,0)),"案件シートに無い番号です",IF(NOT(OR(D113="材料費",D113="労務費",D113="外注費",D113="経費")),"費目を4つから選んでください",IF(K113="",IF(AND(ISNUMBER(F113),NOT(ISNUMBER(J113))),IF(D113="労務費","単価がありません（設定の作業者名と同じ書き方に）","単価がありません"),IF(AND(ISNUMBER(J113),NOT(ISNUMBER(F113))),"数量がありません","金額がありません")),IF(NOT(ISNUMBER(A113)),"日付がありません（月別集計に入りません）",IF(AND(ISNUMBER(F113),ISNUMBER(J113),ISNUMBER(I113)),"数量×単価を使いました（金額の欄は使っていません）","")))))))</f>
        <v/>
      </c>
      <c r="N113" s="91">
        <f>IF(AND(B113&lt;&gt;"",B113='案件カード'!$C$3),COUNTIF($B$5:B113,'案件カード'!$C$3),"")</f>
        <v/>
      </c>
      <c r="O113" s="91">
        <f>IF(ISNUMBER(K113),IF(B113="",K113,IF(AND(ISNUMBER(MATCH(B113,'案件'!$A$6:$A$105,0)),OR(D113="材料費",D113="労務費",D113="外注費",D113="経費")),0,K113)),0)</f>
        <v/>
      </c>
    </row>
    <row r="114" ht="16" customHeight="1">
      <c r="A114" s="35" t="n"/>
      <c r="B114" s="36" t="n"/>
      <c r="C114" s="37">
        <f>IF(B114="","",IFERROR(INDEX('案件'!$B$6:$B$105,MATCH(B114,'案件'!$A$6:$A$105,0))&amp;"","（案件シートに無い番号）"))</f>
        <v/>
      </c>
      <c r="D114" s="36" t="n"/>
      <c r="E114" s="38" t="n"/>
      <c r="F114" s="39" t="n"/>
      <c r="G114" s="36" t="n"/>
      <c r="H114" s="40" t="n"/>
      <c r="I114" s="40" t="n"/>
      <c r="J114" s="41">
        <f>IF(ISNUMBER(H114),H114,IF(AND(D114="労務費",TRIM(E114)&lt;&gt;""),IFERROR(INDEX('設定'!$G$12:$G$31,MATCH(TRIM(E114),'設定'!$J$12:$J$31,0)),""),""))</f>
        <v/>
      </c>
      <c r="K114" s="30">
        <f>IF(AND(ISNUMBER(F114),ISNUMBER(J114)),ROUND(F114*J114,0),IF(ISNUMBER(I114),I114,""))</f>
        <v/>
      </c>
      <c r="L114" s="33" t="n"/>
      <c r="M114" s="34">
        <f>IF(COUNTA(A114:B114,D114:I114,L114)=0,"",IF(B114="","案件番号がありません",IF(ISNA(MATCH(B114,'案件'!$A$6:$A$105,0)),"案件シートに無い番号です",IF(NOT(OR(D114="材料費",D114="労務費",D114="外注費",D114="経費")),"費目を4つから選んでください",IF(K114="",IF(AND(ISNUMBER(F114),NOT(ISNUMBER(J114))),IF(D114="労務費","単価がありません（設定の作業者名と同じ書き方に）","単価がありません"),IF(AND(ISNUMBER(J114),NOT(ISNUMBER(F114))),"数量がありません","金額がありません")),IF(NOT(ISNUMBER(A114)),"日付がありません（月別集計に入りません）",IF(AND(ISNUMBER(F114),ISNUMBER(J114),ISNUMBER(I114)),"数量×単価を使いました（金額の欄は使っていません）","")))))))</f>
        <v/>
      </c>
      <c r="N114" s="91">
        <f>IF(AND(B114&lt;&gt;"",B114='案件カード'!$C$3),COUNTIF($B$5:B114,'案件カード'!$C$3),"")</f>
        <v/>
      </c>
      <c r="O114" s="91">
        <f>IF(ISNUMBER(K114),IF(B114="",K114,IF(AND(ISNUMBER(MATCH(B114,'案件'!$A$6:$A$105,0)),OR(D114="材料費",D114="労務費",D114="外注費",D114="経費")),0,K114)),0)</f>
        <v/>
      </c>
    </row>
    <row r="115" ht="16" customHeight="1">
      <c r="A115" s="35" t="n"/>
      <c r="B115" s="36" t="n"/>
      <c r="C115" s="37">
        <f>IF(B115="","",IFERROR(INDEX('案件'!$B$6:$B$105,MATCH(B115,'案件'!$A$6:$A$105,0))&amp;"","（案件シートに無い番号）"))</f>
        <v/>
      </c>
      <c r="D115" s="36" t="n"/>
      <c r="E115" s="38" t="n"/>
      <c r="F115" s="39" t="n"/>
      <c r="G115" s="36" t="n"/>
      <c r="H115" s="40" t="n"/>
      <c r="I115" s="40" t="n"/>
      <c r="J115" s="41">
        <f>IF(ISNUMBER(H115),H115,IF(AND(D115="労務費",TRIM(E115)&lt;&gt;""),IFERROR(INDEX('設定'!$G$12:$G$31,MATCH(TRIM(E115),'設定'!$J$12:$J$31,0)),""),""))</f>
        <v/>
      </c>
      <c r="K115" s="30">
        <f>IF(AND(ISNUMBER(F115),ISNUMBER(J115)),ROUND(F115*J115,0),IF(ISNUMBER(I115),I115,""))</f>
        <v/>
      </c>
      <c r="L115" s="33" t="n"/>
      <c r="M115" s="34">
        <f>IF(COUNTA(A115:B115,D115:I115,L115)=0,"",IF(B115="","案件番号がありません",IF(ISNA(MATCH(B115,'案件'!$A$6:$A$105,0)),"案件シートに無い番号です",IF(NOT(OR(D115="材料費",D115="労務費",D115="外注費",D115="経費")),"費目を4つから選んでください",IF(K115="",IF(AND(ISNUMBER(F115),NOT(ISNUMBER(J115))),IF(D115="労務費","単価がありません（設定の作業者名と同じ書き方に）","単価がありません"),IF(AND(ISNUMBER(J115),NOT(ISNUMBER(F115))),"数量がありません","金額がありません")),IF(NOT(ISNUMBER(A115)),"日付がありません（月別集計に入りません）",IF(AND(ISNUMBER(F115),ISNUMBER(J115),ISNUMBER(I115)),"数量×単価を使いました（金額の欄は使っていません）","")))))))</f>
        <v/>
      </c>
      <c r="N115" s="91">
        <f>IF(AND(B115&lt;&gt;"",B115='案件カード'!$C$3),COUNTIF($B$5:B115,'案件カード'!$C$3),"")</f>
        <v/>
      </c>
      <c r="O115" s="91">
        <f>IF(ISNUMBER(K115),IF(B115="",K115,IF(AND(ISNUMBER(MATCH(B115,'案件'!$A$6:$A$105,0)),OR(D115="材料費",D115="労務費",D115="外注費",D115="経費")),0,K115)),0)</f>
        <v/>
      </c>
    </row>
    <row r="116" ht="16" customHeight="1">
      <c r="A116" s="35" t="n"/>
      <c r="B116" s="36" t="n"/>
      <c r="C116" s="37">
        <f>IF(B116="","",IFERROR(INDEX('案件'!$B$6:$B$105,MATCH(B116,'案件'!$A$6:$A$105,0))&amp;"","（案件シートに無い番号）"))</f>
        <v/>
      </c>
      <c r="D116" s="36" t="n"/>
      <c r="E116" s="38" t="n"/>
      <c r="F116" s="39" t="n"/>
      <c r="G116" s="36" t="n"/>
      <c r="H116" s="40" t="n"/>
      <c r="I116" s="40" t="n"/>
      <c r="J116" s="41">
        <f>IF(ISNUMBER(H116),H116,IF(AND(D116="労務費",TRIM(E116)&lt;&gt;""),IFERROR(INDEX('設定'!$G$12:$G$31,MATCH(TRIM(E116),'設定'!$J$12:$J$31,0)),""),""))</f>
        <v/>
      </c>
      <c r="K116" s="30">
        <f>IF(AND(ISNUMBER(F116),ISNUMBER(J116)),ROUND(F116*J116,0),IF(ISNUMBER(I116),I116,""))</f>
        <v/>
      </c>
      <c r="L116" s="33" t="n"/>
      <c r="M116" s="34">
        <f>IF(COUNTA(A116:B116,D116:I116,L116)=0,"",IF(B116="","案件番号がありません",IF(ISNA(MATCH(B116,'案件'!$A$6:$A$105,0)),"案件シートに無い番号です",IF(NOT(OR(D116="材料費",D116="労務費",D116="外注費",D116="経費")),"費目を4つから選んでください",IF(K116="",IF(AND(ISNUMBER(F116),NOT(ISNUMBER(J116))),IF(D116="労務費","単価がありません（設定の作業者名と同じ書き方に）","単価がありません"),IF(AND(ISNUMBER(J116),NOT(ISNUMBER(F116))),"数量がありません","金額がありません")),IF(NOT(ISNUMBER(A116)),"日付がありません（月別集計に入りません）",IF(AND(ISNUMBER(F116),ISNUMBER(J116),ISNUMBER(I116)),"数量×単価を使いました（金額の欄は使っていません）","")))))))</f>
        <v/>
      </c>
      <c r="N116" s="91">
        <f>IF(AND(B116&lt;&gt;"",B116='案件カード'!$C$3),COUNTIF($B$5:B116,'案件カード'!$C$3),"")</f>
        <v/>
      </c>
      <c r="O116" s="91">
        <f>IF(ISNUMBER(K116),IF(B116="",K116,IF(AND(ISNUMBER(MATCH(B116,'案件'!$A$6:$A$105,0)),OR(D116="材料費",D116="労務費",D116="外注費",D116="経費")),0,K116)),0)</f>
        <v/>
      </c>
    </row>
    <row r="117" ht="16" customHeight="1">
      <c r="A117" s="35" t="n"/>
      <c r="B117" s="36" t="n"/>
      <c r="C117" s="37">
        <f>IF(B117="","",IFERROR(INDEX('案件'!$B$6:$B$105,MATCH(B117,'案件'!$A$6:$A$105,0))&amp;"","（案件シートに無い番号）"))</f>
        <v/>
      </c>
      <c r="D117" s="36" t="n"/>
      <c r="E117" s="38" t="n"/>
      <c r="F117" s="39" t="n"/>
      <c r="G117" s="36" t="n"/>
      <c r="H117" s="40" t="n"/>
      <c r="I117" s="40" t="n"/>
      <c r="J117" s="41">
        <f>IF(ISNUMBER(H117),H117,IF(AND(D117="労務費",TRIM(E117)&lt;&gt;""),IFERROR(INDEX('設定'!$G$12:$G$31,MATCH(TRIM(E117),'設定'!$J$12:$J$31,0)),""),""))</f>
        <v/>
      </c>
      <c r="K117" s="30">
        <f>IF(AND(ISNUMBER(F117),ISNUMBER(J117)),ROUND(F117*J117,0),IF(ISNUMBER(I117),I117,""))</f>
        <v/>
      </c>
      <c r="L117" s="33" t="n"/>
      <c r="M117" s="34">
        <f>IF(COUNTA(A117:B117,D117:I117,L117)=0,"",IF(B117="","案件番号がありません",IF(ISNA(MATCH(B117,'案件'!$A$6:$A$105,0)),"案件シートに無い番号です",IF(NOT(OR(D117="材料費",D117="労務費",D117="外注費",D117="経費")),"費目を4つから選んでください",IF(K117="",IF(AND(ISNUMBER(F117),NOT(ISNUMBER(J117))),IF(D117="労務費","単価がありません（設定の作業者名と同じ書き方に）","単価がありません"),IF(AND(ISNUMBER(J117),NOT(ISNUMBER(F117))),"数量がありません","金額がありません")),IF(NOT(ISNUMBER(A117)),"日付がありません（月別集計に入りません）",IF(AND(ISNUMBER(F117),ISNUMBER(J117),ISNUMBER(I117)),"数量×単価を使いました（金額の欄は使っていません）","")))))))</f>
        <v/>
      </c>
      <c r="N117" s="91">
        <f>IF(AND(B117&lt;&gt;"",B117='案件カード'!$C$3),COUNTIF($B$5:B117,'案件カード'!$C$3),"")</f>
        <v/>
      </c>
      <c r="O117" s="91">
        <f>IF(ISNUMBER(K117),IF(B117="",K117,IF(AND(ISNUMBER(MATCH(B117,'案件'!$A$6:$A$105,0)),OR(D117="材料費",D117="労務費",D117="外注費",D117="経費")),0,K117)),0)</f>
        <v/>
      </c>
    </row>
    <row r="118" ht="16" customHeight="1">
      <c r="A118" s="35" t="n"/>
      <c r="B118" s="36" t="n"/>
      <c r="C118" s="37">
        <f>IF(B118="","",IFERROR(INDEX('案件'!$B$6:$B$105,MATCH(B118,'案件'!$A$6:$A$105,0))&amp;"","（案件シートに無い番号）"))</f>
        <v/>
      </c>
      <c r="D118" s="36" t="n"/>
      <c r="E118" s="38" t="n"/>
      <c r="F118" s="39" t="n"/>
      <c r="G118" s="36" t="n"/>
      <c r="H118" s="40" t="n"/>
      <c r="I118" s="40" t="n"/>
      <c r="J118" s="41">
        <f>IF(ISNUMBER(H118),H118,IF(AND(D118="労務費",TRIM(E118)&lt;&gt;""),IFERROR(INDEX('設定'!$G$12:$G$31,MATCH(TRIM(E118),'設定'!$J$12:$J$31,0)),""),""))</f>
        <v/>
      </c>
      <c r="K118" s="30">
        <f>IF(AND(ISNUMBER(F118),ISNUMBER(J118)),ROUND(F118*J118,0),IF(ISNUMBER(I118),I118,""))</f>
        <v/>
      </c>
      <c r="L118" s="33" t="n"/>
      <c r="M118" s="34">
        <f>IF(COUNTA(A118:B118,D118:I118,L118)=0,"",IF(B118="","案件番号がありません",IF(ISNA(MATCH(B118,'案件'!$A$6:$A$105,0)),"案件シートに無い番号です",IF(NOT(OR(D118="材料費",D118="労務費",D118="外注費",D118="経費")),"費目を4つから選んでください",IF(K118="",IF(AND(ISNUMBER(F118),NOT(ISNUMBER(J118))),IF(D118="労務費","単価がありません（設定の作業者名と同じ書き方に）","単価がありません"),IF(AND(ISNUMBER(J118),NOT(ISNUMBER(F118))),"数量がありません","金額がありません")),IF(NOT(ISNUMBER(A118)),"日付がありません（月別集計に入りません）",IF(AND(ISNUMBER(F118),ISNUMBER(J118),ISNUMBER(I118)),"数量×単価を使いました（金額の欄は使っていません）","")))))))</f>
        <v/>
      </c>
      <c r="N118" s="91">
        <f>IF(AND(B118&lt;&gt;"",B118='案件カード'!$C$3),COUNTIF($B$5:B118,'案件カード'!$C$3),"")</f>
        <v/>
      </c>
      <c r="O118" s="91">
        <f>IF(ISNUMBER(K118),IF(B118="",K118,IF(AND(ISNUMBER(MATCH(B118,'案件'!$A$6:$A$105,0)),OR(D118="材料費",D118="労務費",D118="外注費",D118="経費")),0,K118)),0)</f>
        <v/>
      </c>
    </row>
    <row r="119" ht="16" customHeight="1">
      <c r="A119" s="35" t="n"/>
      <c r="B119" s="36" t="n"/>
      <c r="C119" s="37">
        <f>IF(B119="","",IFERROR(INDEX('案件'!$B$6:$B$105,MATCH(B119,'案件'!$A$6:$A$105,0))&amp;"","（案件シートに無い番号）"))</f>
        <v/>
      </c>
      <c r="D119" s="36" t="n"/>
      <c r="E119" s="38" t="n"/>
      <c r="F119" s="39" t="n"/>
      <c r="G119" s="36" t="n"/>
      <c r="H119" s="40" t="n"/>
      <c r="I119" s="40" t="n"/>
      <c r="J119" s="41">
        <f>IF(ISNUMBER(H119),H119,IF(AND(D119="労務費",TRIM(E119)&lt;&gt;""),IFERROR(INDEX('設定'!$G$12:$G$31,MATCH(TRIM(E119),'設定'!$J$12:$J$31,0)),""),""))</f>
        <v/>
      </c>
      <c r="K119" s="30">
        <f>IF(AND(ISNUMBER(F119),ISNUMBER(J119)),ROUND(F119*J119,0),IF(ISNUMBER(I119),I119,""))</f>
        <v/>
      </c>
      <c r="L119" s="33" t="n"/>
      <c r="M119" s="34">
        <f>IF(COUNTA(A119:B119,D119:I119,L119)=0,"",IF(B119="","案件番号がありません",IF(ISNA(MATCH(B119,'案件'!$A$6:$A$105,0)),"案件シートに無い番号です",IF(NOT(OR(D119="材料費",D119="労務費",D119="外注費",D119="経費")),"費目を4つから選んでください",IF(K119="",IF(AND(ISNUMBER(F119),NOT(ISNUMBER(J119))),IF(D119="労務費","単価がありません（設定の作業者名と同じ書き方に）","単価がありません"),IF(AND(ISNUMBER(J119),NOT(ISNUMBER(F119))),"数量がありません","金額がありません")),IF(NOT(ISNUMBER(A119)),"日付がありません（月別集計に入りません）",IF(AND(ISNUMBER(F119),ISNUMBER(J119),ISNUMBER(I119)),"数量×単価を使いました（金額の欄は使っていません）","")))))))</f>
        <v/>
      </c>
      <c r="N119" s="91">
        <f>IF(AND(B119&lt;&gt;"",B119='案件カード'!$C$3),COUNTIF($B$5:B119,'案件カード'!$C$3),"")</f>
        <v/>
      </c>
      <c r="O119" s="91">
        <f>IF(ISNUMBER(K119),IF(B119="",K119,IF(AND(ISNUMBER(MATCH(B119,'案件'!$A$6:$A$105,0)),OR(D119="材料費",D119="労務費",D119="外注費",D119="経費")),0,K119)),0)</f>
        <v/>
      </c>
    </row>
    <row r="120" ht="16" customHeight="1">
      <c r="A120" s="35" t="n"/>
      <c r="B120" s="36" t="n"/>
      <c r="C120" s="37">
        <f>IF(B120="","",IFERROR(INDEX('案件'!$B$6:$B$105,MATCH(B120,'案件'!$A$6:$A$105,0))&amp;"","（案件シートに無い番号）"))</f>
        <v/>
      </c>
      <c r="D120" s="36" t="n"/>
      <c r="E120" s="38" t="n"/>
      <c r="F120" s="39" t="n"/>
      <c r="G120" s="36" t="n"/>
      <c r="H120" s="40" t="n"/>
      <c r="I120" s="40" t="n"/>
      <c r="J120" s="41">
        <f>IF(ISNUMBER(H120),H120,IF(AND(D120="労務費",TRIM(E120)&lt;&gt;""),IFERROR(INDEX('設定'!$G$12:$G$31,MATCH(TRIM(E120),'設定'!$J$12:$J$31,0)),""),""))</f>
        <v/>
      </c>
      <c r="K120" s="30">
        <f>IF(AND(ISNUMBER(F120),ISNUMBER(J120)),ROUND(F120*J120,0),IF(ISNUMBER(I120),I120,""))</f>
        <v/>
      </c>
      <c r="L120" s="33" t="n"/>
      <c r="M120" s="34">
        <f>IF(COUNTA(A120:B120,D120:I120,L120)=0,"",IF(B120="","案件番号がありません",IF(ISNA(MATCH(B120,'案件'!$A$6:$A$105,0)),"案件シートに無い番号です",IF(NOT(OR(D120="材料費",D120="労務費",D120="外注費",D120="経費")),"費目を4つから選んでください",IF(K120="",IF(AND(ISNUMBER(F120),NOT(ISNUMBER(J120))),IF(D120="労務費","単価がありません（設定の作業者名と同じ書き方に）","単価がありません"),IF(AND(ISNUMBER(J120),NOT(ISNUMBER(F120))),"数量がありません","金額がありません")),IF(NOT(ISNUMBER(A120)),"日付がありません（月別集計に入りません）",IF(AND(ISNUMBER(F120),ISNUMBER(J120),ISNUMBER(I120)),"数量×単価を使いました（金額の欄は使っていません）","")))))))</f>
        <v/>
      </c>
      <c r="N120" s="91">
        <f>IF(AND(B120&lt;&gt;"",B120='案件カード'!$C$3),COUNTIF($B$5:B120,'案件カード'!$C$3),"")</f>
        <v/>
      </c>
      <c r="O120" s="91">
        <f>IF(ISNUMBER(K120),IF(B120="",K120,IF(AND(ISNUMBER(MATCH(B120,'案件'!$A$6:$A$105,0)),OR(D120="材料費",D120="労務費",D120="外注費",D120="経費")),0,K120)),0)</f>
        <v/>
      </c>
    </row>
    <row r="121" ht="16" customHeight="1">
      <c r="A121" s="35" t="n"/>
      <c r="B121" s="36" t="n"/>
      <c r="C121" s="37">
        <f>IF(B121="","",IFERROR(INDEX('案件'!$B$6:$B$105,MATCH(B121,'案件'!$A$6:$A$105,0))&amp;"","（案件シートに無い番号）"))</f>
        <v/>
      </c>
      <c r="D121" s="36" t="n"/>
      <c r="E121" s="38" t="n"/>
      <c r="F121" s="39" t="n"/>
      <c r="G121" s="36" t="n"/>
      <c r="H121" s="40" t="n"/>
      <c r="I121" s="40" t="n"/>
      <c r="J121" s="41">
        <f>IF(ISNUMBER(H121),H121,IF(AND(D121="労務費",TRIM(E121)&lt;&gt;""),IFERROR(INDEX('設定'!$G$12:$G$31,MATCH(TRIM(E121),'設定'!$J$12:$J$31,0)),""),""))</f>
        <v/>
      </c>
      <c r="K121" s="30">
        <f>IF(AND(ISNUMBER(F121),ISNUMBER(J121)),ROUND(F121*J121,0),IF(ISNUMBER(I121),I121,""))</f>
        <v/>
      </c>
      <c r="L121" s="33" t="n"/>
      <c r="M121" s="34">
        <f>IF(COUNTA(A121:B121,D121:I121,L121)=0,"",IF(B121="","案件番号がありません",IF(ISNA(MATCH(B121,'案件'!$A$6:$A$105,0)),"案件シートに無い番号です",IF(NOT(OR(D121="材料費",D121="労務費",D121="外注費",D121="経費")),"費目を4つから選んでください",IF(K121="",IF(AND(ISNUMBER(F121),NOT(ISNUMBER(J121))),IF(D121="労務費","単価がありません（設定の作業者名と同じ書き方に）","単価がありません"),IF(AND(ISNUMBER(J121),NOT(ISNUMBER(F121))),"数量がありません","金額がありません")),IF(NOT(ISNUMBER(A121)),"日付がありません（月別集計に入りません）",IF(AND(ISNUMBER(F121),ISNUMBER(J121),ISNUMBER(I121)),"数量×単価を使いました（金額の欄は使っていません）","")))))))</f>
        <v/>
      </c>
      <c r="N121" s="91">
        <f>IF(AND(B121&lt;&gt;"",B121='案件カード'!$C$3),COUNTIF($B$5:B121,'案件カード'!$C$3),"")</f>
        <v/>
      </c>
      <c r="O121" s="91">
        <f>IF(ISNUMBER(K121),IF(B121="",K121,IF(AND(ISNUMBER(MATCH(B121,'案件'!$A$6:$A$105,0)),OR(D121="材料費",D121="労務費",D121="外注費",D121="経費")),0,K121)),0)</f>
        <v/>
      </c>
    </row>
    <row r="122" ht="16" customHeight="1">
      <c r="A122" s="35" t="n"/>
      <c r="B122" s="36" t="n"/>
      <c r="C122" s="37">
        <f>IF(B122="","",IFERROR(INDEX('案件'!$B$6:$B$105,MATCH(B122,'案件'!$A$6:$A$105,0))&amp;"","（案件シートに無い番号）"))</f>
        <v/>
      </c>
      <c r="D122" s="36" t="n"/>
      <c r="E122" s="38" t="n"/>
      <c r="F122" s="39" t="n"/>
      <c r="G122" s="36" t="n"/>
      <c r="H122" s="40" t="n"/>
      <c r="I122" s="40" t="n"/>
      <c r="J122" s="41">
        <f>IF(ISNUMBER(H122),H122,IF(AND(D122="労務費",TRIM(E122)&lt;&gt;""),IFERROR(INDEX('設定'!$G$12:$G$31,MATCH(TRIM(E122),'設定'!$J$12:$J$31,0)),""),""))</f>
        <v/>
      </c>
      <c r="K122" s="30">
        <f>IF(AND(ISNUMBER(F122),ISNUMBER(J122)),ROUND(F122*J122,0),IF(ISNUMBER(I122),I122,""))</f>
        <v/>
      </c>
      <c r="L122" s="33" t="n"/>
      <c r="M122" s="34">
        <f>IF(COUNTA(A122:B122,D122:I122,L122)=0,"",IF(B122="","案件番号がありません",IF(ISNA(MATCH(B122,'案件'!$A$6:$A$105,0)),"案件シートに無い番号です",IF(NOT(OR(D122="材料費",D122="労務費",D122="外注費",D122="経費")),"費目を4つから選んでください",IF(K122="",IF(AND(ISNUMBER(F122),NOT(ISNUMBER(J122))),IF(D122="労務費","単価がありません（設定の作業者名と同じ書き方に）","単価がありません"),IF(AND(ISNUMBER(J122),NOT(ISNUMBER(F122))),"数量がありません","金額がありません")),IF(NOT(ISNUMBER(A122)),"日付がありません（月別集計に入りません）",IF(AND(ISNUMBER(F122),ISNUMBER(J122),ISNUMBER(I122)),"数量×単価を使いました（金額の欄は使っていません）","")))))))</f>
        <v/>
      </c>
      <c r="N122" s="91">
        <f>IF(AND(B122&lt;&gt;"",B122='案件カード'!$C$3),COUNTIF($B$5:B122,'案件カード'!$C$3),"")</f>
        <v/>
      </c>
      <c r="O122" s="91">
        <f>IF(ISNUMBER(K122),IF(B122="",K122,IF(AND(ISNUMBER(MATCH(B122,'案件'!$A$6:$A$105,0)),OR(D122="材料費",D122="労務費",D122="外注費",D122="経費")),0,K122)),0)</f>
        <v/>
      </c>
    </row>
    <row r="123" ht="16" customHeight="1">
      <c r="A123" s="35" t="n"/>
      <c r="B123" s="36" t="n"/>
      <c r="C123" s="37">
        <f>IF(B123="","",IFERROR(INDEX('案件'!$B$6:$B$105,MATCH(B123,'案件'!$A$6:$A$105,0))&amp;"","（案件シートに無い番号）"))</f>
        <v/>
      </c>
      <c r="D123" s="36" t="n"/>
      <c r="E123" s="38" t="n"/>
      <c r="F123" s="39" t="n"/>
      <c r="G123" s="36" t="n"/>
      <c r="H123" s="40" t="n"/>
      <c r="I123" s="40" t="n"/>
      <c r="J123" s="41">
        <f>IF(ISNUMBER(H123),H123,IF(AND(D123="労務費",TRIM(E123)&lt;&gt;""),IFERROR(INDEX('設定'!$G$12:$G$31,MATCH(TRIM(E123),'設定'!$J$12:$J$31,0)),""),""))</f>
        <v/>
      </c>
      <c r="K123" s="30">
        <f>IF(AND(ISNUMBER(F123),ISNUMBER(J123)),ROUND(F123*J123,0),IF(ISNUMBER(I123),I123,""))</f>
        <v/>
      </c>
      <c r="L123" s="33" t="n"/>
      <c r="M123" s="34">
        <f>IF(COUNTA(A123:B123,D123:I123,L123)=0,"",IF(B123="","案件番号がありません",IF(ISNA(MATCH(B123,'案件'!$A$6:$A$105,0)),"案件シートに無い番号です",IF(NOT(OR(D123="材料費",D123="労務費",D123="外注費",D123="経費")),"費目を4つから選んでください",IF(K123="",IF(AND(ISNUMBER(F123),NOT(ISNUMBER(J123))),IF(D123="労務費","単価がありません（設定の作業者名と同じ書き方に）","単価がありません"),IF(AND(ISNUMBER(J123),NOT(ISNUMBER(F123))),"数量がありません","金額がありません")),IF(NOT(ISNUMBER(A123)),"日付がありません（月別集計に入りません）",IF(AND(ISNUMBER(F123),ISNUMBER(J123),ISNUMBER(I123)),"数量×単価を使いました（金額の欄は使っていません）","")))))))</f>
        <v/>
      </c>
      <c r="N123" s="91">
        <f>IF(AND(B123&lt;&gt;"",B123='案件カード'!$C$3),COUNTIF($B$5:B123,'案件カード'!$C$3),"")</f>
        <v/>
      </c>
      <c r="O123" s="91">
        <f>IF(ISNUMBER(K123),IF(B123="",K123,IF(AND(ISNUMBER(MATCH(B123,'案件'!$A$6:$A$105,0)),OR(D123="材料費",D123="労務費",D123="外注費",D123="経費")),0,K123)),0)</f>
        <v/>
      </c>
    </row>
    <row r="124" ht="16" customHeight="1">
      <c r="A124" s="35" t="n"/>
      <c r="B124" s="36" t="n"/>
      <c r="C124" s="37">
        <f>IF(B124="","",IFERROR(INDEX('案件'!$B$6:$B$105,MATCH(B124,'案件'!$A$6:$A$105,0))&amp;"","（案件シートに無い番号）"))</f>
        <v/>
      </c>
      <c r="D124" s="36" t="n"/>
      <c r="E124" s="38" t="n"/>
      <c r="F124" s="39" t="n"/>
      <c r="G124" s="36" t="n"/>
      <c r="H124" s="40" t="n"/>
      <c r="I124" s="40" t="n"/>
      <c r="J124" s="41">
        <f>IF(ISNUMBER(H124),H124,IF(AND(D124="労務費",TRIM(E124)&lt;&gt;""),IFERROR(INDEX('設定'!$G$12:$G$31,MATCH(TRIM(E124),'設定'!$J$12:$J$31,0)),""),""))</f>
        <v/>
      </c>
      <c r="K124" s="30">
        <f>IF(AND(ISNUMBER(F124),ISNUMBER(J124)),ROUND(F124*J124,0),IF(ISNUMBER(I124),I124,""))</f>
        <v/>
      </c>
      <c r="L124" s="33" t="n"/>
      <c r="M124" s="34">
        <f>IF(COUNTA(A124:B124,D124:I124,L124)=0,"",IF(B124="","案件番号がありません",IF(ISNA(MATCH(B124,'案件'!$A$6:$A$105,0)),"案件シートに無い番号です",IF(NOT(OR(D124="材料費",D124="労務費",D124="外注費",D124="経費")),"費目を4つから選んでください",IF(K124="",IF(AND(ISNUMBER(F124),NOT(ISNUMBER(J124))),IF(D124="労務費","単価がありません（設定の作業者名と同じ書き方に）","単価がありません"),IF(AND(ISNUMBER(J124),NOT(ISNUMBER(F124))),"数量がありません","金額がありません")),IF(NOT(ISNUMBER(A124)),"日付がありません（月別集計に入りません）",IF(AND(ISNUMBER(F124),ISNUMBER(J124),ISNUMBER(I124)),"数量×単価を使いました（金額の欄は使っていません）","")))))))</f>
        <v/>
      </c>
      <c r="N124" s="91">
        <f>IF(AND(B124&lt;&gt;"",B124='案件カード'!$C$3),COUNTIF($B$5:B124,'案件カード'!$C$3),"")</f>
        <v/>
      </c>
      <c r="O124" s="91">
        <f>IF(ISNUMBER(K124),IF(B124="",K124,IF(AND(ISNUMBER(MATCH(B124,'案件'!$A$6:$A$105,0)),OR(D124="材料費",D124="労務費",D124="外注費",D124="経費")),0,K124)),0)</f>
        <v/>
      </c>
    </row>
    <row r="125" ht="16" customHeight="1">
      <c r="A125" s="35" t="n"/>
      <c r="B125" s="36" t="n"/>
      <c r="C125" s="37">
        <f>IF(B125="","",IFERROR(INDEX('案件'!$B$6:$B$105,MATCH(B125,'案件'!$A$6:$A$105,0))&amp;"","（案件シートに無い番号）"))</f>
        <v/>
      </c>
      <c r="D125" s="36" t="n"/>
      <c r="E125" s="38" t="n"/>
      <c r="F125" s="39" t="n"/>
      <c r="G125" s="36" t="n"/>
      <c r="H125" s="40" t="n"/>
      <c r="I125" s="40" t="n"/>
      <c r="J125" s="41">
        <f>IF(ISNUMBER(H125),H125,IF(AND(D125="労務費",TRIM(E125)&lt;&gt;""),IFERROR(INDEX('設定'!$G$12:$G$31,MATCH(TRIM(E125),'設定'!$J$12:$J$31,0)),""),""))</f>
        <v/>
      </c>
      <c r="K125" s="30">
        <f>IF(AND(ISNUMBER(F125),ISNUMBER(J125)),ROUND(F125*J125,0),IF(ISNUMBER(I125),I125,""))</f>
        <v/>
      </c>
      <c r="L125" s="33" t="n"/>
      <c r="M125" s="34">
        <f>IF(COUNTA(A125:B125,D125:I125,L125)=0,"",IF(B125="","案件番号がありません",IF(ISNA(MATCH(B125,'案件'!$A$6:$A$105,0)),"案件シートに無い番号です",IF(NOT(OR(D125="材料費",D125="労務費",D125="外注費",D125="経費")),"費目を4つから選んでください",IF(K125="",IF(AND(ISNUMBER(F125),NOT(ISNUMBER(J125))),IF(D125="労務費","単価がありません（設定の作業者名と同じ書き方に）","単価がありません"),IF(AND(ISNUMBER(J125),NOT(ISNUMBER(F125))),"数量がありません","金額がありません")),IF(NOT(ISNUMBER(A125)),"日付がありません（月別集計に入りません）",IF(AND(ISNUMBER(F125),ISNUMBER(J125),ISNUMBER(I125)),"数量×単価を使いました（金額の欄は使っていません）","")))))))</f>
        <v/>
      </c>
      <c r="N125" s="91">
        <f>IF(AND(B125&lt;&gt;"",B125='案件カード'!$C$3),COUNTIF($B$5:B125,'案件カード'!$C$3),"")</f>
        <v/>
      </c>
      <c r="O125" s="91">
        <f>IF(ISNUMBER(K125),IF(B125="",K125,IF(AND(ISNUMBER(MATCH(B125,'案件'!$A$6:$A$105,0)),OR(D125="材料費",D125="労務費",D125="外注費",D125="経費")),0,K125)),0)</f>
        <v/>
      </c>
    </row>
    <row r="126" ht="16" customHeight="1">
      <c r="A126" s="35" t="n"/>
      <c r="B126" s="36" t="n"/>
      <c r="C126" s="37">
        <f>IF(B126="","",IFERROR(INDEX('案件'!$B$6:$B$105,MATCH(B126,'案件'!$A$6:$A$105,0))&amp;"","（案件シートに無い番号）"))</f>
        <v/>
      </c>
      <c r="D126" s="36" t="n"/>
      <c r="E126" s="38" t="n"/>
      <c r="F126" s="39" t="n"/>
      <c r="G126" s="36" t="n"/>
      <c r="H126" s="40" t="n"/>
      <c r="I126" s="40" t="n"/>
      <c r="J126" s="41">
        <f>IF(ISNUMBER(H126),H126,IF(AND(D126="労務費",TRIM(E126)&lt;&gt;""),IFERROR(INDEX('設定'!$G$12:$G$31,MATCH(TRIM(E126),'設定'!$J$12:$J$31,0)),""),""))</f>
        <v/>
      </c>
      <c r="K126" s="30">
        <f>IF(AND(ISNUMBER(F126),ISNUMBER(J126)),ROUND(F126*J126,0),IF(ISNUMBER(I126),I126,""))</f>
        <v/>
      </c>
      <c r="L126" s="33" t="n"/>
      <c r="M126" s="34">
        <f>IF(COUNTA(A126:B126,D126:I126,L126)=0,"",IF(B126="","案件番号がありません",IF(ISNA(MATCH(B126,'案件'!$A$6:$A$105,0)),"案件シートに無い番号です",IF(NOT(OR(D126="材料費",D126="労務費",D126="外注費",D126="経費")),"費目を4つから選んでください",IF(K126="",IF(AND(ISNUMBER(F126),NOT(ISNUMBER(J126))),IF(D126="労務費","単価がありません（設定の作業者名と同じ書き方に）","単価がありません"),IF(AND(ISNUMBER(J126),NOT(ISNUMBER(F126))),"数量がありません","金額がありません")),IF(NOT(ISNUMBER(A126)),"日付がありません（月別集計に入りません）",IF(AND(ISNUMBER(F126),ISNUMBER(J126),ISNUMBER(I126)),"数量×単価を使いました（金額の欄は使っていません）","")))))))</f>
        <v/>
      </c>
      <c r="N126" s="91">
        <f>IF(AND(B126&lt;&gt;"",B126='案件カード'!$C$3),COUNTIF($B$5:B126,'案件カード'!$C$3),"")</f>
        <v/>
      </c>
      <c r="O126" s="91">
        <f>IF(ISNUMBER(K126),IF(B126="",K126,IF(AND(ISNUMBER(MATCH(B126,'案件'!$A$6:$A$105,0)),OR(D126="材料費",D126="労務費",D126="外注費",D126="経費")),0,K126)),0)</f>
        <v/>
      </c>
    </row>
    <row r="127" ht="16" customHeight="1">
      <c r="A127" s="35" t="n"/>
      <c r="B127" s="36" t="n"/>
      <c r="C127" s="37">
        <f>IF(B127="","",IFERROR(INDEX('案件'!$B$6:$B$105,MATCH(B127,'案件'!$A$6:$A$105,0))&amp;"","（案件シートに無い番号）"))</f>
        <v/>
      </c>
      <c r="D127" s="36" t="n"/>
      <c r="E127" s="38" t="n"/>
      <c r="F127" s="39" t="n"/>
      <c r="G127" s="36" t="n"/>
      <c r="H127" s="40" t="n"/>
      <c r="I127" s="40" t="n"/>
      <c r="J127" s="41">
        <f>IF(ISNUMBER(H127),H127,IF(AND(D127="労務費",TRIM(E127)&lt;&gt;""),IFERROR(INDEX('設定'!$G$12:$G$31,MATCH(TRIM(E127),'設定'!$J$12:$J$31,0)),""),""))</f>
        <v/>
      </c>
      <c r="K127" s="30">
        <f>IF(AND(ISNUMBER(F127),ISNUMBER(J127)),ROUND(F127*J127,0),IF(ISNUMBER(I127),I127,""))</f>
        <v/>
      </c>
      <c r="L127" s="33" t="n"/>
      <c r="M127" s="34">
        <f>IF(COUNTA(A127:B127,D127:I127,L127)=0,"",IF(B127="","案件番号がありません",IF(ISNA(MATCH(B127,'案件'!$A$6:$A$105,0)),"案件シートに無い番号です",IF(NOT(OR(D127="材料費",D127="労務費",D127="外注費",D127="経費")),"費目を4つから選んでください",IF(K127="",IF(AND(ISNUMBER(F127),NOT(ISNUMBER(J127))),IF(D127="労務費","単価がありません（設定の作業者名と同じ書き方に）","単価がありません"),IF(AND(ISNUMBER(J127),NOT(ISNUMBER(F127))),"数量がありません","金額がありません")),IF(NOT(ISNUMBER(A127)),"日付がありません（月別集計に入りません）",IF(AND(ISNUMBER(F127),ISNUMBER(J127),ISNUMBER(I127)),"数量×単価を使いました（金額の欄は使っていません）","")))))))</f>
        <v/>
      </c>
      <c r="N127" s="91">
        <f>IF(AND(B127&lt;&gt;"",B127='案件カード'!$C$3),COUNTIF($B$5:B127,'案件カード'!$C$3),"")</f>
        <v/>
      </c>
      <c r="O127" s="91">
        <f>IF(ISNUMBER(K127),IF(B127="",K127,IF(AND(ISNUMBER(MATCH(B127,'案件'!$A$6:$A$105,0)),OR(D127="材料費",D127="労務費",D127="外注費",D127="経費")),0,K127)),0)</f>
        <v/>
      </c>
    </row>
    <row r="128" ht="16" customHeight="1">
      <c r="A128" s="35" t="n"/>
      <c r="B128" s="36" t="n"/>
      <c r="C128" s="37">
        <f>IF(B128="","",IFERROR(INDEX('案件'!$B$6:$B$105,MATCH(B128,'案件'!$A$6:$A$105,0))&amp;"","（案件シートに無い番号）"))</f>
        <v/>
      </c>
      <c r="D128" s="36" t="n"/>
      <c r="E128" s="38" t="n"/>
      <c r="F128" s="39" t="n"/>
      <c r="G128" s="36" t="n"/>
      <c r="H128" s="40" t="n"/>
      <c r="I128" s="40" t="n"/>
      <c r="J128" s="41">
        <f>IF(ISNUMBER(H128),H128,IF(AND(D128="労務費",TRIM(E128)&lt;&gt;""),IFERROR(INDEX('設定'!$G$12:$G$31,MATCH(TRIM(E128),'設定'!$J$12:$J$31,0)),""),""))</f>
        <v/>
      </c>
      <c r="K128" s="30">
        <f>IF(AND(ISNUMBER(F128),ISNUMBER(J128)),ROUND(F128*J128,0),IF(ISNUMBER(I128),I128,""))</f>
        <v/>
      </c>
      <c r="L128" s="33" t="n"/>
      <c r="M128" s="34">
        <f>IF(COUNTA(A128:B128,D128:I128,L128)=0,"",IF(B128="","案件番号がありません",IF(ISNA(MATCH(B128,'案件'!$A$6:$A$105,0)),"案件シートに無い番号です",IF(NOT(OR(D128="材料費",D128="労務費",D128="外注費",D128="経費")),"費目を4つから選んでください",IF(K128="",IF(AND(ISNUMBER(F128),NOT(ISNUMBER(J128))),IF(D128="労務費","単価がありません（設定の作業者名と同じ書き方に）","単価がありません"),IF(AND(ISNUMBER(J128),NOT(ISNUMBER(F128))),"数量がありません","金額がありません")),IF(NOT(ISNUMBER(A128)),"日付がありません（月別集計に入りません）",IF(AND(ISNUMBER(F128),ISNUMBER(J128),ISNUMBER(I128)),"数量×単価を使いました（金額の欄は使っていません）","")))))))</f>
        <v/>
      </c>
      <c r="N128" s="91">
        <f>IF(AND(B128&lt;&gt;"",B128='案件カード'!$C$3),COUNTIF($B$5:B128,'案件カード'!$C$3),"")</f>
        <v/>
      </c>
      <c r="O128" s="91">
        <f>IF(ISNUMBER(K128),IF(B128="",K128,IF(AND(ISNUMBER(MATCH(B128,'案件'!$A$6:$A$105,0)),OR(D128="材料費",D128="労務費",D128="外注費",D128="経費")),0,K128)),0)</f>
        <v/>
      </c>
    </row>
    <row r="129" ht="16" customHeight="1">
      <c r="A129" s="35" t="n"/>
      <c r="B129" s="36" t="n"/>
      <c r="C129" s="37">
        <f>IF(B129="","",IFERROR(INDEX('案件'!$B$6:$B$105,MATCH(B129,'案件'!$A$6:$A$105,0))&amp;"","（案件シートに無い番号）"))</f>
        <v/>
      </c>
      <c r="D129" s="36" t="n"/>
      <c r="E129" s="38" t="n"/>
      <c r="F129" s="39" t="n"/>
      <c r="G129" s="36" t="n"/>
      <c r="H129" s="40" t="n"/>
      <c r="I129" s="40" t="n"/>
      <c r="J129" s="41">
        <f>IF(ISNUMBER(H129),H129,IF(AND(D129="労務費",TRIM(E129)&lt;&gt;""),IFERROR(INDEX('設定'!$G$12:$G$31,MATCH(TRIM(E129),'設定'!$J$12:$J$31,0)),""),""))</f>
        <v/>
      </c>
      <c r="K129" s="30">
        <f>IF(AND(ISNUMBER(F129),ISNUMBER(J129)),ROUND(F129*J129,0),IF(ISNUMBER(I129),I129,""))</f>
        <v/>
      </c>
      <c r="L129" s="33" t="n"/>
      <c r="M129" s="34">
        <f>IF(COUNTA(A129:B129,D129:I129,L129)=0,"",IF(B129="","案件番号がありません",IF(ISNA(MATCH(B129,'案件'!$A$6:$A$105,0)),"案件シートに無い番号です",IF(NOT(OR(D129="材料費",D129="労務費",D129="外注費",D129="経費")),"費目を4つから選んでください",IF(K129="",IF(AND(ISNUMBER(F129),NOT(ISNUMBER(J129))),IF(D129="労務費","単価がありません（設定の作業者名と同じ書き方に）","単価がありません"),IF(AND(ISNUMBER(J129),NOT(ISNUMBER(F129))),"数量がありません","金額がありません")),IF(NOT(ISNUMBER(A129)),"日付がありません（月別集計に入りません）",IF(AND(ISNUMBER(F129),ISNUMBER(J129),ISNUMBER(I129)),"数量×単価を使いました（金額の欄は使っていません）","")))))))</f>
        <v/>
      </c>
      <c r="N129" s="91">
        <f>IF(AND(B129&lt;&gt;"",B129='案件カード'!$C$3),COUNTIF($B$5:B129,'案件カード'!$C$3),"")</f>
        <v/>
      </c>
      <c r="O129" s="91">
        <f>IF(ISNUMBER(K129),IF(B129="",K129,IF(AND(ISNUMBER(MATCH(B129,'案件'!$A$6:$A$105,0)),OR(D129="材料費",D129="労務費",D129="外注費",D129="経費")),0,K129)),0)</f>
        <v/>
      </c>
    </row>
    <row r="130" ht="16" customHeight="1">
      <c r="A130" s="35" t="n"/>
      <c r="B130" s="36" t="n"/>
      <c r="C130" s="37">
        <f>IF(B130="","",IFERROR(INDEX('案件'!$B$6:$B$105,MATCH(B130,'案件'!$A$6:$A$105,0))&amp;"","（案件シートに無い番号）"))</f>
        <v/>
      </c>
      <c r="D130" s="36" t="n"/>
      <c r="E130" s="38" t="n"/>
      <c r="F130" s="39" t="n"/>
      <c r="G130" s="36" t="n"/>
      <c r="H130" s="40" t="n"/>
      <c r="I130" s="40" t="n"/>
      <c r="J130" s="41">
        <f>IF(ISNUMBER(H130),H130,IF(AND(D130="労務費",TRIM(E130)&lt;&gt;""),IFERROR(INDEX('設定'!$G$12:$G$31,MATCH(TRIM(E130),'設定'!$J$12:$J$31,0)),""),""))</f>
        <v/>
      </c>
      <c r="K130" s="30">
        <f>IF(AND(ISNUMBER(F130),ISNUMBER(J130)),ROUND(F130*J130,0),IF(ISNUMBER(I130),I130,""))</f>
        <v/>
      </c>
      <c r="L130" s="33" t="n"/>
      <c r="M130" s="34">
        <f>IF(COUNTA(A130:B130,D130:I130,L130)=0,"",IF(B130="","案件番号がありません",IF(ISNA(MATCH(B130,'案件'!$A$6:$A$105,0)),"案件シートに無い番号です",IF(NOT(OR(D130="材料費",D130="労務費",D130="外注費",D130="経費")),"費目を4つから選んでください",IF(K130="",IF(AND(ISNUMBER(F130),NOT(ISNUMBER(J130))),IF(D130="労務費","単価がありません（設定の作業者名と同じ書き方に）","単価がありません"),IF(AND(ISNUMBER(J130),NOT(ISNUMBER(F130))),"数量がありません","金額がありません")),IF(NOT(ISNUMBER(A130)),"日付がありません（月別集計に入りません）",IF(AND(ISNUMBER(F130),ISNUMBER(J130),ISNUMBER(I130)),"数量×単価を使いました（金額の欄は使っていません）","")))))))</f>
        <v/>
      </c>
      <c r="N130" s="91">
        <f>IF(AND(B130&lt;&gt;"",B130='案件カード'!$C$3),COUNTIF($B$5:B130,'案件カード'!$C$3),"")</f>
        <v/>
      </c>
      <c r="O130" s="91">
        <f>IF(ISNUMBER(K130),IF(B130="",K130,IF(AND(ISNUMBER(MATCH(B130,'案件'!$A$6:$A$105,0)),OR(D130="材料費",D130="労務費",D130="外注費",D130="経費")),0,K130)),0)</f>
        <v/>
      </c>
    </row>
    <row r="131" ht="16" customHeight="1">
      <c r="A131" s="35" t="n"/>
      <c r="B131" s="36" t="n"/>
      <c r="C131" s="37">
        <f>IF(B131="","",IFERROR(INDEX('案件'!$B$6:$B$105,MATCH(B131,'案件'!$A$6:$A$105,0))&amp;"","（案件シートに無い番号）"))</f>
        <v/>
      </c>
      <c r="D131" s="36" t="n"/>
      <c r="E131" s="38" t="n"/>
      <c r="F131" s="39" t="n"/>
      <c r="G131" s="36" t="n"/>
      <c r="H131" s="40" t="n"/>
      <c r="I131" s="40" t="n"/>
      <c r="J131" s="41">
        <f>IF(ISNUMBER(H131),H131,IF(AND(D131="労務費",TRIM(E131)&lt;&gt;""),IFERROR(INDEX('設定'!$G$12:$G$31,MATCH(TRIM(E131),'設定'!$J$12:$J$31,0)),""),""))</f>
        <v/>
      </c>
      <c r="K131" s="30">
        <f>IF(AND(ISNUMBER(F131),ISNUMBER(J131)),ROUND(F131*J131,0),IF(ISNUMBER(I131),I131,""))</f>
        <v/>
      </c>
      <c r="L131" s="33" t="n"/>
      <c r="M131" s="34">
        <f>IF(COUNTA(A131:B131,D131:I131,L131)=0,"",IF(B131="","案件番号がありません",IF(ISNA(MATCH(B131,'案件'!$A$6:$A$105,0)),"案件シートに無い番号です",IF(NOT(OR(D131="材料費",D131="労務費",D131="外注費",D131="経費")),"費目を4つから選んでください",IF(K131="",IF(AND(ISNUMBER(F131),NOT(ISNUMBER(J131))),IF(D131="労務費","単価がありません（設定の作業者名と同じ書き方に）","単価がありません"),IF(AND(ISNUMBER(J131),NOT(ISNUMBER(F131))),"数量がありません","金額がありません")),IF(NOT(ISNUMBER(A131)),"日付がありません（月別集計に入りません）",IF(AND(ISNUMBER(F131),ISNUMBER(J131),ISNUMBER(I131)),"数量×単価を使いました（金額の欄は使っていません）","")))))))</f>
        <v/>
      </c>
      <c r="N131" s="91">
        <f>IF(AND(B131&lt;&gt;"",B131='案件カード'!$C$3),COUNTIF($B$5:B131,'案件カード'!$C$3),"")</f>
        <v/>
      </c>
      <c r="O131" s="91">
        <f>IF(ISNUMBER(K131),IF(B131="",K131,IF(AND(ISNUMBER(MATCH(B131,'案件'!$A$6:$A$105,0)),OR(D131="材料費",D131="労務費",D131="外注費",D131="経費")),0,K131)),0)</f>
        <v/>
      </c>
    </row>
    <row r="132" ht="16" customHeight="1">
      <c r="A132" s="35" t="n"/>
      <c r="B132" s="36" t="n"/>
      <c r="C132" s="37">
        <f>IF(B132="","",IFERROR(INDEX('案件'!$B$6:$B$105,MATCH(B132,'案件'!$A$6:$A$105,0))&amp;"","（案件シートに無い番号）"))</f>
        <v/>
      </c>
      <c r="D132" s="36" t="n"/>
      <c r="E132" s="38" t="n"/>
      <c r="F132" s="39" t="n"/>
      <c r="G132" s="36" t="n"/>
      <c r="H132" s="40" t="n"/>
      <c r="I132" s="40" t="n"/>
      <c r="J132" s="41">
        <f>IF(ISNUMBER(H132),H132,IF(AND(D132="労務費",TRIM(E132)&lt;&gt;""),IFERROR(INDEX('設定'!$G$12:$G$31,MATCH(TRIM(E132),'設定'!$J$12:$J$31,0)),""),""))</f>
        <v/>
      </c>
      <c r="K132" s="30">
        <f>IF(AND(ISNUMBER(F132),ISNUMBER(J132)),ROUND(F132*J132,0),IF(ISNUMBER(I132),I132,""))</f>
        <v/>
      </c>
      <c r="L132" s="33" t="n"/>
      <c r="M132" s="34">
        <f>IF(COUNTA(A132:B132,D132:I132,L132)=0,"",IF(B132="","案件番号がありません",IF(ISNA(MATCH(B132,'案件'!$A$6:$A$105,0)),"案件シートに無い番号です",IF(NOT(OR(D132="材料費",D132="労務費",D132="外注費",D132="経費")),"費目を4つから選んでください",IF(K132="",IF(AND(ISNUMBER(F132),NOT(ISNUMBER(J132))),IF(D132="労務費","単価がありません（設定の作業者名と同じ書き方に）","単価がありません"),IF(AND(ISNUMBER(J132),NOT(ISNUMBER(F132))),"数量がありません","金額がありません")),IF(NOT(ISNUMBER(A132)),"日付がありません（月別集計に入りません）",IF(AND(ISNUMBER(F132),ISNUMBER(J132),ISNUMBER(I132)),"数量×単価を使いました（金額の欄は使っていません）","")))))))</f>
        <v/>
      </c>
      <c r="N132" s="91">
        <f>IF(AND(B132&lt;&gt;"",B132='案件カード'!$C$3),COUNTIF($B$5:B132,'案件カード'!$C$3),"")</f>
        <v/>
      </c>
      <c r="O132" s="91">
        <f>IF(ISNUMBER(K132),IF(B132="",K132,IF(AND(ISNUMBER(MATCH(B132,'案件'!$A$6:$A$105,0)),OR(D132="材料費",D132="労務費",D132="外注費",D132="経費")),0,K132)),0)</f>
        <v/>
      </c>
    </row>
    <row r="133" ht="16" customHeight="1">
      <c r="A133" s="35" t="n"/>
      <c r="B133" s="36" t="n"/>
      <c r="C133" s="37">
        <f>IF(B133="","",IFERROR(INDEX('案件'!$B$6:$B$105,MATCH(B133,'案件'!$A$6:$A$105,0))&amp;"","（案件シートに無い番号）"))</f>
        <v/>
      </c>
      <c r="D133" s="36" t="n"/>
      <c r="E133" s="38" t="n"/>
      <c r="F133" s="39" t="n"/>
      <c r="G133" s="36" t="n"/>
      <c r="H133" s="40" t="n"/>
      <c r="I133" s="40" t="n"/>
      <c r="J133" s="41">
        <f>IF(ISNUMBER(H133),H133,IF(AND(D133="労務費",TRIM(E133)&lt;&gt;""),IFERROR(INDEX('設定'!$G$12:$G$31,MATCH(TRIM(E133),'設定'!$J$12:$J$31,0)),""),""))</f>
        <v/>
      </c>
      <c r="K133" s="30">
        <f>IF(AND(ISNUMBER(F133),ISNUMBER(J133)),ROUND(F133*J133,0),IF(ISNUMBER(I133),I133,""))</f>
        <v/>
      </c>
      <c r="L133" s="33" t="n"/>
      <c r="M133" s="34">
        <f>IF(COUNTA(A133:B133,D133:I133,L133)=0,"",IF(B133="","案件番号がありません",IF(ISNA(MATCH(B133,'案件'!$A$6:$A$105,0)),"案件シートに無い番号です",IF(NOT(OR(D133="材料費",D133="労務費",D133="外注費",D133="経費")),"費目を4つから選んでください",IF(K133="",IF(AND(ISNUMBER(F133),NOT(ISNUMBER(J133))),IF(D133="労務費","単価がありません（設定の作業者名と同じ書き方に）","単価がありません"),IF(AND(ISNUMBER(J133),NOT(ISNUMBER(F133))),"数量がありません","金額がありません")),IF(NOT(ISNUMBER(A133)),"日付がありません（月別集計に入りません）",IF(AND(ISNUMBER(F133),ISNUMBER(J133),ISNUMBER(I133)),"数量×単価を使いました（金額の欄は使っていません）","")))))))</f>
        <v/>
      </c>
      <c r="N133" s="91">
        <f>IF(AND(B133&lt;&gt;"",B133='案件カード'!$C$3),COUNTIF($B$5:B133,'案件カード'!$C$3),"")</f>
        <v/>
      </c>
      <c r="O133" s="91">
        <f>IF(ISNUMBER(K133),IF(B133="",K133,IF(AND(ISNUMBER(MATCH(B133,'案件'!$A$6:$A$105,0)),OR(D133="材料費",D133="労務費",D133="外注費",D133="経費")),0,K133)),0)</f>
        <v/>
      </c>
    </row>
    <row r="134" ht="16" customHeight="1">
      <c r="A134" s="35" t="n"/>
      <c r="B134" s="36" t="n"/>
      <c r="C134" s="37">
        <f>IF(B134="","",IFERROR(INDEX('案件'!$B$6:$B$105,MATCH(B134,'案件'!$A$6:$A$105,0))&amp;"","（案件シートに無い番号）"))</f>
        <v/>
      </c>
      <c r="D134" s="36" t="n"/>
      <c r="E134" s="38" t="n"/>
      <c r="F134" s="39" t="n"/>
      <c r="G134" s="36" t="n"/>
      <c r="H134" s="40" t="n"/>
      <c r="I134" s="40" t="n"/>
      <c r="J134" s="41">
        <f>IF(ISNUMBER(H134),H134,IF(AND(D134="労務費",TRIM(E134)&lt;&gt;""),IFERROR(INDEX('設定'!$G$12:$G$31,MATCH(TRIM(E134),'設定'!$J$12:$J$31,0)),""),""))</f>
        <v/>
      </c>
      <c r="K134" s="30">
        <f>IF(AND(ISNUMBER(F134),ISNUMBER(J134)),ROUND(F134*J134,0),IF(ISNUMBER(I134),I134,""))</f>
        <v/>
      </c>
      <c r="L134" s="33" t="n"/>
      <c r="M134" s="34">
        <f>IF(COUNTA(A134:B134,D134:I134,L134)=0,"",IF(B134="","案件番号がありません",IF(ISNA(MATCH(B134,'案件'!$A$6:$A$105,0)),"案件シートに無い番号です",IF(NOT(OR(D134="材料費",D134="労務費",D134="外注費",D134="経費")),"費目を4つから選んでください",IF(K134="",IF(AND(ISNUMBER(F134),NOT(ISNUMBER(J134))),IF(D134="労務費","単価がありません（設定の作業者名と同じ書き方に）","単価がありません"),IF(AND(ISNUMBER(J134),NOT(ISNUMBER(F134))),"数量がありません","金額がありません")),IF(NOT(ISNUMBER(A134)),"日付がありません（月別集計に入りません）",IF(AND(ISNUMBER(F134),ISNUMBER(J134),ISNUMBER(I134)),"数量×単価を使いました（金額の欄は使っていません）","")))))))</f>
        <v/>
      </c>
      <c r="N134" s="91">
        <f>IF(AND(B134&lt;&gt;"",B134='案件カード'!$C$3),COUNTIF($B$5:B134,'案件カード'!$C$3),"")</f>
        <v/>
      </c>
      <c r="O134" s="91">
        <f>IF(ISNUMBER(K134),IF(B134="",K134,IF(AND(ISNUMBER(MATCH(B134,'案件'!$A$6:$A$105,0)),OR(D134="材料費",D134="労務費",D134="外注費",D134="経費")),0,K134)),0)</f>
        <v/>
      </c>
    </row>
    <row r="135" ht="16" customHeight="1">
      <c r="A135" s="35" t="n"/>
      <c r="B135" s="36" t="n"/>
      <c r="C135" s="37">
        <f>IF(B135="","",IFERROR(INDEX('案件'!$B$6:$B$105,MATCH(B135,'案件'!$A$6:$A$105,0))&amp;"","（案件シートに無い番号）"))</f>
        <v/>
      </c>
      <c r="D135" s="36" t="n"/>
      <c r="E135" s="38" t="n"/>
      <c r="F135" s="39" t="n"/>
      <c r="G135" s="36" t="n"/>
      <c r="H135" s="40" t="n"/>
      <c r="I135" s="40" t="n"/>
      <c r="J135" s="41">
        <f>IF(ISNUMBER(H135),H135,IF(AND(D135="労務費",TRIM(E135)&lt;&gt;""),IFERROR(INDEX('設定'!$G$12:$G$31,MATCH(TRIM(E135),'設定'!$J$12:$J$31,0)),""),""))</f>
        <v/>
      </c>
      <c r="K135" s="30">
        <f>IF(AND(ISNUMBER(F135),ISNUMBER(J135)),ROUND(F135*J135,0),IF(ISNUMBER(I135),I135,""))</f>
        <v/>
      </c>
      <c r="L135" s="33" t="n"/>
      <c r="M135" s="34">
        <f>IF(COUNTA(A135:B135,D135:I135,L135)=0,"",IF(B135="","案件番号がありません",IF(ISNA(MATCH(B135,'案件'!$A$6:$A$105,0)),"案件シートに無い番号です",IF(NOT(OR(D135="材料費",D135="労務費",D135="外注費",D135="経費")),"費目を4つから選んでください",IF(K135="",IF(AND(ISNUMBER(F135),NOT(ISNUMBER(J135))),IF(D135="労務費","単価がありません（設定の作業者名と同じ書き方に）","単価がありません"),IF(AND(ISNUMBER(J135),NOT(ISNUMBER(F135))),"数量がありません","金額がありません")),IF(NOT(ISNUMBER(A135)),"日付がありません（月別集計に入りません）",IF(AND(ISNUMBER(F135),ISNUMBER(J135),ISNUMBER(I135)),"数量×単価を使いました（金額の欄は使っていません）","")))))))</f>
        <v/>
      </c>
      <c r="N135" s="91">
        <f>IF(AND(B135&lt;&gt;"",B135='案件カード'!$C$3),COUNTIF($B$5:B135,'案件カード'!$C$3),"")</f>
        <v/>
      </c>
      <c r="O135" s="91">
        <f>IF(ISNUMBER(K135),IF(B135="",K135,IF(AND(ISNUMBER(MATCH(B135,'案件'!$A$6:$A$105,0)),OR(D135="材料費",D135="労務費",D135="外注費",D135="経費")),0,K135)),0)</f>
        <v/>
      </c>
    </row>
    <row r="136" ht="16" customHeight="1">
      <c r="A136" s="35" t="n"/>
      <c r="B136" s="36" t="n"/>
      <c r="C136" s="37">
        <f>IF(B136="","",IFERROR(INDEX('案件'!$B$6:$B$105,MATCH(B136,'案件'!$A$6:$A$105,0))&amp;"","（案件シートに無い番号）"))</f>
        <v/>
      </c>
      <c r="D136" s="36" t="n"/>
      <c r="E136" s="38" t="n"/>
      <c r="F136" s="39" t="n"/>
      <c r="G136" s="36" t="n"/>
      <c r="H136" s="40" t="n"/>
      <c r="I136" s="40" t="n"/>
      <c r="J136" s="41">
        <f>IF(ISNUMBER(H136),H136,IF(AND(D136="労務費",TRIM(E136)&lt;&gt;""),IFERROR(INDEX('設定'!$G$12:$G$31,MATCH(TRIM(E136),'設定'!$J$12:$J$31,0)),""),""))</f>
        <v/>
      </c>
      <c r="K136" s="30">
        <f>IF(AND(ISNUMBER(F136),ISNUMBER(J136)),ROUND(F136*J136,0),IF(ISNUMBER(I136),I136,""))</f>
        <v/>
      </c>
      <c r="L136" s="33" t="n"/>
      <c r="M136" s="34">
        <f>IF(COUNTA(A136:B136,D136:I136,L136)=0,"",IF(B136="","案件番号がありません",IF(ISNA(MATCH(B136,'案件'!$A$6:$A$105,0)),"案件シートに無い番号です",IF(NOT(OR(D136="材料費",D136="労務費",D136="外注費",D136="経費")),"費目を4つから選んでください",IF(K136="",IF(AND(ISNUMBER(F136),NOT(ISNUMBER(J136))),IF(D136="労務費","単価がありません（設定の作業者名と同じ書き方に）","単価がありません"),IF(AND(ISNUMBER(J136),NOT(ISNUMBER(F136))),"数量がありません","金額がありません")),IF(NOT(ISNUMBER(A136)),"日付がありません（月別集計に入りません）",IF(AND(ISNUMBER(F136),ISNUMBER(J136),ISNUMBER(I136)),"数量×単価を使いました（金額の欄は使っていません）","")))))))</f>
        <v/>
      </c>
      <c r="N136" s="91">
        <f>IF(AND(B136&lt;&gt;"",B136='案件カード'!$C$3),COUNTIF($B$5:B136,'案件カード'!$C$3),"")</f>
        <v/>
      </c>
      <c r="O136" s="91">
        <f>IF(ISNUMBER(K136),IF(B136="",K136,IF(AND(ISNUMBER(MATCH(B136,'案件'!$A$6:$A$105,0)),OR(D136="材料費",D136="労務費",D136="外注費",D136="経費")),0,K136)),0)</f>
        <v/>
      </c>
    </row>
    <row r="137" ht="16" customHeight="1">
      <c r="A137" s="35" t="n"/>
      <c r="B137" s="36" t="n"/>
      <c r="C137" s="37">
        <f>IF(B137="","",IFERROR(INDEX('案件'!$B$6:$B$105,MATCH(B137,'案件'!$A$6:$A$105,0))&amp;"","（案件シートに無い番号）"))</f>
        <v/>
      </c>
      <c r="D137" s="36" t="n"/>
      <c r="E137" s="38" t="n"/>
      <c r="F137" s="39" t="n"/>
      <c r="G137" s="36" t="n"/>
      <c r="H137" s="40" t="n"/>
      <c r="I137" s="40" t="n"/>
      <c r="J137" s="41">
        <f>IF(ISNUMBER(H137),H137,IF(AND(D137="労務費",TRIM(E137)&lt;&gt;""),IFERROR(INDEX('設定'!$G$12:$G$31,MATCH(TRIM(E137),'設定'!$J$12:$J$31,0)),""),""))</f>
        <v/>
      </c>
      <c r="K137" s="30">
        <f>IF(AND(ISNUMBER(F137),ISNUMBER(J137)),ROUND(F137*J137,0),IF(ISNUMBER(I137),I137,""))</f>
        <v/>
      </c>
      <c r="L137" s="33" t="n"/>
      <c r="M137" s="34">
        <f>IF(COUNTA(A137:B137,D137:I137,L137)=0,"",IF(B137="","案件番号がありません",IF(ISNA(MATCH(B137,'案件'!$A$6:$A$105,0)),"案件シートに無い番号です",IF(NOT(OR(D137="材料費",D137="労務費",D137="外注費",D137="経費")),"費目を4つから選んでください",IF(K137="",IF(AND(ISNUMBER(F137),NOT(ISNUMBER(J137))),IF(D137="労務費","単価がありません（設定の作業者名と同じ書き方に）","単価がありません"),IF(AND(ISNUMBER(J137),NOT(ISNUMBER(F137))),"数量がありません","金額がありません")),IF(NOT(ISNUMBER(A137)),"日付がありません（月別集計に入りません）",IF(AND(ISNUMBER(F137),ISNUMBER(J137),ISNUMBER(I137)),"数量×単価を使いました（金額の欄は使っていません）","")))))))</f>
        <v/>
      </c>
      <c r="N137" s="91">
        <f>IF(AND(B137&lt;&gt;"",B137='案件カード'!$C$3),COUNTIF($B$5:B137,'案件カード'!$C$3),"")</f>
        <v/>
      </c>
      <c r="O137" s="91">
        <f>IF(ISNUMBER(K137),IF(B137="",K137,IF(AND(ISNUMBER(MATCH(B137,'案件'!$A$6:$A$105,0)),OR(D137="材料費",D137="労務費",D137="外注費",D137="経費")),0,K137)),0)</f>
        <v/>
      </c>
    </row>
    <row r="138" ht="16" customHeight="1">
      <c r="A138" s="35" t="n"/>
      <c r="B138" s="36" t="n"/>
      <c r="C138" s="37">
        <f>IF(B138="","",IFERROR(INDEX('案件'!$B$6:$B$105,MATCH(B138,'案件'!$A$6:$A$105,0))&amp;"","（案件シートに無い番号）"))</f>
        <v/>
      </c>
      <c r="D138" s="36" t="n"/>
      <c r="E138" s="38" t="n"/>
      <c r="F138" s="39" t="n"/>
      <c r="G138" s="36" t="n"/>
      <c r="H138" s="40" t="n"/>
      <c r="I138" s="40" t="n"/>
      <c r="J138" s="41">
        <f>IF(ISNUMBER(H138),H138,IF(AND(D138="労務費",TRIM(E138)&lt;&gt;""),IFERROR(INDEX('設定'!$G$12:$G$31,MATCH(TRIM(E138),'設定'!$J$12:$J$31,0)),""),""))</f>
        <v/>
      </c>
      <c r="K138" s="30">
        <f>IF(AND(ISNUMBER(F138),ISNUMBER(J138)),ROUND(F138*J138,0),IF(ISNUMBER(I138),I138,""))</f>
        <v/>
      </c>
      <c r="L138" s="33" t="n"/>
      <c r="M138" s="34">
        <f>IF(COUNTA(A138:B138,D138:I138,L138)=0,"",IF(B138="","案件番号がありません",IF(ISNA(MATCH(B138,'案件'!$A$6:$A$105,0)),"案件シートに無い番号です",IF(NOT(OR(D138="材料費",D138="労務費",D138="外注費",D138="経費")),"費目を4つから選んでください",IF(K138="",IF(AND(ISNUMBER(F138),NOT(ISNUMBER(J138))),IF(D138="労務費","単価がありません（設定の作業者名と同じ書き方に）","単価がありません"),IF(AND(ISNUMBER(J138),NOT(ISNUMBER(F138))),"数量がありません","金額がありません")),IF(NOT(ISNUMBER(A138)),"日付がありません（月別集計に入りません）",IF(AND(ISNUMBER(F138),ISNUMBER(J138),ISNUMBER(I138)),"数量×単価を使いました（金額の欄は使っていません）","")))))))</f>
        <v/>
      </c>
      <c r="N138" s="91">
        <f>IF(AND(B138&lt;&gt;"",B138='案件カード'!$C$3),COUNTIF($B$5:B138,'案件カード'!$C$3),"")</f>
        <v/>
      </c>
      <c r="O138" s="91">
        <f>IF(ISNUMBER(K138),IF(B138="",K138,IF(AND(ISNUMBER(MATCH(B138,'案件'!$A$6:$A$105,0)),OR(D138="材料費",D138="労務費",D138="外注費",D138="経費")),0,K138)),0)</f>
        <v/>
      </c>
    </row>
    <row r="139" ht="16" customHeight="1">
      <c r="A139" s="35" t="n"/>
      <c r="B139" s="36" t="n"/>
      <c r="C139" s="37">
        <f>IF(B139="","",IFERROR(INDEX('案件'!$B$6:$B$105,MATCH(B139,'案件'!$A$6:$A$105,0))&amp;"","（案件シートに無い番号）"))</f>
        <v/>
      </c>
      <c r="D139" s="36" t="n"/>
      <c r="E139" s="38" t="n"/>
      <c r="F139" s="39" t="n"/>
      <c r="G139" s="36" t="n"/>
      <c r="H139" s="40" t="n"/>
      <c r="I139" s="40" t="n"/>
      <c r="J139" s="41">
        <f>IF(ISNUMBER(H139),H139,IF(AND(D139="労務費",TRIM(E139)&lt;&gt;""),IFERROR(INDEX('設定'!$G$12:$G$31,MATCH(TRIM(E139),'設定'!$J$12:$J$31,0)),""),""))</f>
        <v/>
      </c>
      <c r="K139" s="30">
        <f>IF(AND(ISNUMBER(F139),ISNUMBER(J139)),ROUND(F139*J139,0),IF(ISNUMBER(I139),I139,""))</f>
        <v/>
      </c>
      <c r="L139" s="33" t="n"/>
      <c r="M139" s="34">
        <f>IF(COUNTA(A139:B139,D139:I139,L139)=0,"",IF(B139="","案件番号がありません",IF(ISNA(MATCH(B139,'案件'!$A$6:$A$105,0)),"案件シートに無い番号です",IF(NOT(OR(D139="材料費",D139="労務費",D139="外注費",D139="経費")),"費目を4つから選んでください",IF(K139="",IF(AND(ISNUMBER(F139),NOT(ISNUMBER(J139))),IF(D139="労務費","単価がありません（設定の作業者名と同じ書き方に）","単価がありません"),IF(AND(ISNUMBER(J139),NOT(ISNUMBER(F139))),"数量がありません","金額がありません")),IF(NOT(ISNUMBER(A139)),"日付がありません（月別集計に入りません）",IF(AND(ISNUMBER(F139),ISNUMBER(J139),ISNUMBER(I139)),"数量×単価を使いました（金額の欄は使っていません）","")))))))</f>
        <v/>
      </c>
      <c r="N139" s="91">
        <f>IF(AND(B139&lt;&gt;"",B139='案件カード'!$C$3),COUNTIF($B$5:B139,'案件カード'!$C$3),"")</f>
        <v/>
      </c>
      <c r="O139" s="91">
        <f>IF(ISNUMBER(K139),IF(B139="",K139,IF(AND(ISNUMBER(MATCH(B139,'案件'!$A$6:$A$105,0)),OR(D139="材料費",D139="労務費",D139="外注費",D139="経費")),0,K139)),0)</f>
        <v/>
      </c>
    </row>
    <row r="140" ht="16" customHeight="1">
      <c r="A140" s="35" t="n"/>
      <c r="B140" s="36" t="n"/>
      <c r="C140" s="37">
        <f>IF(B140="","",IFERROR(INDEX('案件'!$B$6:$B$105,MATCH(B140,'案件'!$A$6:$A$105,0))&amp;"","（案件シートに無い番号）"))</f>
        <v/>
      </c>
      <c r="D140" s="36" t="n"/>
      <c r="E140" s="38" t="n"/>
      <c r="F140" s="39" t="n"/>
      <c r="G140" s="36" t="n"/>
      <c r="H140" s="40" t="n"/>
      <c r="I140" s="40" t="n"/>
      <c r="J140" s="41">
        <f>IF(ISNUMBER(H140),H140,IF(AND(D140="労務費",TRIM(E140)&lt;&gt;""),IFERROR(INDEX('設定'!$G$12:$G$31,MATCH(TRIM(E140),'設定'!$J$12:$J$31,0)),""),""))</f>
        <v/>
      </c>
      <c r="K140" s="30">
        <f>IF(AND(ISNUMBER(F140),ISNUMBER(J140)),ROUND(F140*J140,0),IF(ISNUMBER(I140),I140,""))</f>
        <v/>
      </c>
      <c r="L140" s="33" t="n"/>
      <c r="M140" s="34">
        <f>IF(COUNTA(A140:B140,D140:I140,L140)=0,"",IF(B140="","案件番号がありません",IF(ISNA(MATCH(B140,'案件'!$A$6:$A$105,0)),"案件シートに無い番号です",IF(NOT(OR(D140="材料費",D140="労務費",D140="外注費",D140="経費")),"費目を4つから選んでください",IF(K140="",IF(AND(ISNUMBER(F140),NOT(ISNUMBER(J140))),IF(D140="労務費","単価がありません（設定の作業者名と同じ書き方に）","単価がありません"),IF(AND(ISNUMBER(J140),NOT(ISNUMBER(F140))),"数量がありません","金額がありません")),IF(NOT(ISNUMBER(A140)),"日付がありません（月別集計に入りません）",IF(AND(ISNUMBER(F140),ISNUMBER(J140),ISNUMBER(I140)),"数量×単価を使いました（金額の欄は使っていません）","")))))))</f>
        <v/>
      </c>
      <c r="N140" s="91">
        <f>IF(AND(B140&lt;&gt;"",B140='案件カード'!$C$3),COUNTIF($B$5:B140,'案件カード'!$C$3),"")</f>
        <v/>
      </c>
      <c r="O140" s="91">
        <f>IF(ISNUMBER(K140),IF(B140="",K140,IF(AND(ISNUMBER(MATCH(B140,'案件'!$A$6:$A$105,0)),OR(D140="材料費",D140="労務費",D140="外注費",D140="経費")),0,K140)),0)</f>
        <v/>
      </c>
    </row>
    <row r="141" ht="16" customHeight="1">
      <c r="A141" s="35" t="n"/>
      <c r="B141" s="36" t="n"/>
      <c r="C141" s="37">
        <f>IF(B141="","",IFERROR(INDEX('案件'!$B$6:$B$105,MATCH(B141,'案件'!$A$6:$A$105,0))&amp;"","（案件シートに無い番号）"))</f>
        <v/>
      </c>
      <c r="D141" s="36" t="n"/>
      <c r="E141" s="38" t="n"/>
      <c r="F141" s="39" t="n"/>
      <c r="G141" s="36" t="n"/>
      <c r="H141" s="40" t="n"/>
      <c r="I141" s="40" t="n"/>
      <c r="J141" s="41">
        <f>IF(ISNUMBER(H141),H141,IF(AND(D141="労務費",TRIM(E141)&lt;&gt;""),IFERROR(INDEX('設定'!$G$12:$G$31,MATCH(TRIM(E141),'設定'!$J$12:$J$31,0)),""),""))</f>
        <v/>
      </c>
      <c r="K141" s="30">
        <f>IF(AND(ISNUMBER(F141),ISNUMBER(J141)),ROUND(F141*J141,0),IF(ISNUMBER(I141),I141,""))</f>
        <v/>
      </c>
      <c r="L141" s="33" t="n"/>
      <c r="M141" s="34">
        <f>IF(COUNTA(A141:B141,D141:I141,L141)=0,"",IF(B141="","案件番号がありません",IF(ISNA(MATCH(B141,'案件'!$A$6:$A$105,0)),"案件シートに無い番号です",IF(NOT(OR(D141="材料費",D141="労務費",D141="外注費",D141="経費")),"費目を4つから選んでください",IF(K141="",IF(AND(ISNUMBER(F141),NOT(ISNUMBER(J141))),IF(D141="労務費","単価がありません（設定の作業者名と同じ書き方に）","単価がありません"),IF(AND(ISNUMBER(J141),NOT(ISNUMBER(F141))),"数量がありません","金額がありません")),IF(NOT(ISNUMBER(A141)),"日付がありません（月別集計に入りません）",IF(AND(ISNUMBER(F141),ISNUMBER(J141),ISNUMBER(I141)),"数量×単価を使いました（金額の欄は使っていません）","")))))))</f>
        <v/>
      </c>
      <c r="N141" s="91">
        <f>IF(AND(B141&lt;&gt;"",B141='案件カード'!$C$3),COUNTIF($B$5:B141,'案件カード'!$C$3),"")</f>
        <v/>
      </c>
      <c r="O141" s="91">
        <f>IF(ISNUMBER(K141),IF(B141="",K141,IF(AND(ISNUMBER(MATCH(B141,'案件'!$A$6:$A$105,0)),OR(D141="材料費",D141="労務費",D141="外注費",D141="経費")),0,K141)),0)</f>
        <v/>
      </c>
    </row>
    <row r="142" ht="16" customHeight="1">
      <c r="A142" s="35" t="n"/>
      <c r="B142" s="36" t="n"/>
      <c r="C142" s="37">
        <f>IF(B142="","",IFERROR(INDEX('案件'!$B$6:$B$105,MATCH(B142,'案件'!$A$6:$A$105,0))&amp;"","（案件シートに無い番号）"))</f>
        <v/>
      </c>
      <c r="D142" s="36" t="n"/>
      <c r="E142" s="38" t="n"/>
      <c r="F142" s="39" t="n"/>
      <c r="G142" s="36" t="n"/>
      <c r="H142" s="40" t="n"/>
      <c r="I142" s="40" t="n"/>
      <c r="J142" s="41">
        <f>IF(ISNUMBER(H142),H142,IF(AND(D142="労務費",TRIM(E142)&lt;&gt;""),IFERROR(INDEX('設定'!$G$12:$G$31,MATCH(TRIM(E142),'設定'!$J$12:$J$31,0)),""),""))</f>
        <v/>
      </c>
      <c r="K142" s="30">
        <f>IF(AND(ISNUMBER(F142),ISNUMBER(J142)),ROUND(F142*J142,0),IF(ISNUMBER(I142),I142,""))</f>
        <v/>
      </c>
      <c r="L142" s="33" t="n"/>
      <c r="M142" s="34">
        <f>IF(COUNTA(A142:B142,D142:I142,L142)=0,"",IF(B142="","案件番号がありません",IF(ISNA(MATCH(B142,'案件'!$A$6:$A$105,0)),"案件シートに無い番号です",IF(NOT(OR(D142="材料費",D142="労務費",D142="外注費",D142="経費")),"費目を4つから選んでください",IF(K142="",IF(AND(ISNUMBER(F142),NOT(ISNUMBER(J142))),IF(D142="労務費","単価がありません（設定の作業者名と同じ書き方に）","単価がありません"),IF(AND(ISNUMBER(J142),NOT(ISNUMBER(F142))),"数量がありません","金額がありません")),IF(NOT(ISNUMBER(A142)),"日付がありません（月別集計に入りません）",IF(AND(ISNUMBER(F142),ISNUMBER(J142),ISNUMBER(I142)),"数量×単価を使いました（金額の欄は使っていません）","")))))))</f>
        <v/>
      </c>
      <c r="N142" s="91">
        <f>IF(AND(B142&lt;&gt;"",B142='案件カード'!$C$3),COUNTIF($B$5:B142,'案件カード'!$C$3),"")</f>
        <v/>
      </c>
      <c r="O142" s="91">
        <f>IF(ISNUMBER(K142),IF(B142="",K142,IF(AND(ISNUMBER(MATCH(B142,'案件'!$A$6:$A$105,0)),OR(D142="材料費",D142="労務費",D142="外注費",D142="経費")),0,K142)),0)</f>
        <v/>
      </c>
    </row>
    <row r="143" ht="16" customHeight="1">
      <c r="A143" s="35" t="n"/>
      <c r="B143" s="36" t="n"/>
      <c r="C143" s="37">
        <f>IF(B143="","",IFERROR(INDEX('案件'!$B$6:$B$105,MATCH(B143,'案件'!$A$6:$A$105,0))&amp;"","（案件シートに無い番号）"))</f>
        <v/>
      </c>
      <c r="D143" s="36" t="n"/>
      <c r="E143" s="38" t="n"/>
      <c r="F143" s="39" t="n"/>
      <c r="G143" s="36" t="n"/>
      <c r="H143" s="40" t="n"/>
      <c r="I143" s="40" t="n"/>
      <c r="J143" s="41">
        <f>IF(ISNUMBER(H143),H143,IF(AND(D143="労務費",TRIM(E143)&lt;&gt;""),IFERROR(INDEX('設定'!$G$12:$G$31,MATCH(TRIM(E143),'設定'!$J$12:$J$31,0)),""),""))</f>
        <v/>
      </c>
      <c r="K143" s="30">
        <f>IF(AND(ISNUMBER(F143),ISNUMBER(J143)),ROUND(F143*J143,0),IF(ISNUMBER(I143),I143,""))</f>
        <v/>
      </c>
      <c r="L143" s="33" t="n"/>
      <c r="M143" s="34">
        <f>IF(COUNTA(A143:B143,D143:I143,L143)=0,"",IF(B143="","案件番号がありません",IF(ISNA(MATCH(B143,'案件'!$A$6:$A$105,0)),"案件シートに無い番号です",IF(NOT(OR(D143="材料費",D143="労務費",D143="外注費",D143="経費")),"費目を4つから選んでください",IF(K143="",IF(AND(ISNUMBER(F143),NOT(ISNUMBER(J143))),IF(D143="労務費","単価がありません（設定の作業者名と同じ書き方に）","単価がありません"),IF(AND(ISNUMBER(J143),NOT(ISNUMBER(F143))),"数量がありません","金額がありません")),IF(NOT(ISNUMBER(A143)),"日付がありません（月別集計に入りません）",IF(AND(ISNUMBER(F143),ISNUMBER(J143),ISNUMBER(I143)),"数量×単価を使いました（金額の欄は使っていません）","")))))))</f>
        <v/>
      </c>
      <c r="N143" s="91">
        <f>IF(AND(B143&lt;&gt;"",B143='案件カード'!$C$3),COUNTIF($B$5:B143,'案件カード'!$C$3),"")</f>
        <v/>
      </c>
      <c r="O143" s="91">
        <f>IF(ISNUMBER(K143),IF(B143="",K143,IF(AND(ISNUMBER(MATCH(B143,'案件'!$A$6:$A$105,0)),OR(D143="材料費",D143="労務費",D143="外注費",D143="経費")),0,K143)),0)</f>
        <v/>
      </c>
    </row>
    <row r="144" ht="16" customHeight="1">
      <c r="A144" s="35" t="n"/>
      <c r="B144" s="36" t="n"/>
      <c r="C144" s="37">
        <f>IF(B144="","",IFERROR(INDEX('案件'!$B$6:$B$105,MATCH(B144,'案件'!$A$6:$A$105,0))&amp;"","（案件シートに無い番号）"))</f>
        <v/>
      </c>
      <c r="D144" s="36" t="n"/>
      <c r="E144" s="38" t="n"/>
      <c r="F144" s="39" t="n"/>
      <c r="G144" s="36" t="n"/>
      <c r="H144" s="40" t="n"/>
      <c r="I144" s="40" t="n"/>
      <c r="J144" s="41">
        <f>IF(ISNUMBER(H144),H144,IF(AND(D144="労務費",TRIM(E144)&lt;&gt;""),IFERROR(INDEX('設定'!$G$12:$G$31,MATCH(TRIM(E144),'設定'!$J$12:$J$31,0)),""),""))</f>
        <v/>
      </c>
      <c r="K144" s="30">
        <f>IF(AND(ISNUMBER(F144),ISNUMBER(J144)),ROUND(F144*J144,0),IF(ISNUMBER(I144),I144,""))</f>
        <v/>
      </c>
      <c r="L144" s="33" t="n"/>
      <c r="M144" s="34">
        <f>IF(COUNTA(A144:B144,D144:I144,L144)=0,"",IF(B144="","案件番号がありません",IF(ISNA(MATCH(B144,'案件'!$A$6:$A$105,0)),"案件シートに無い番号です",IF(NOT(OR(D144="材料費",D144="労務費",D144="外注費",D144="経費")),"費目を4つから選んでください",IF(K144="",IF(AND(ISNUMBER(F144),NOT(ISNUMBER(J144))),IF(D144="労務費","単価がありません（設定の作業者名と同じ書き方に）","単価がありません"),IF(AND(ISNUMBER(J144),NOT(ISNUMBER(F144))),"数量がありません","金額がありません")),IF(NOT(ISNUMBER(A144)),"日付がありません（月別集計に入りません）",IF(AND(ISNUMBER(F144),ISNUMBER(J144),ISNUMBER(I144)),"数量×単価を使いました（金額の欄は使っていません）","")))))))</f>
        <v/>
      </c>
      <c r="N144" s="91">
        <f>IF(AND(B144&lt;&gt;"",B144='案件カード'!$C$3),COUNTIF($B$5:B144,'案件カード'!$C$3),"")</f>
        <v/>
      </c>
      <c r="O144" s="91">
        <f>IF(ISNUMBER(K144),IF(B144="",K144,IF(AND(ISNUMBER(MATCH(B144,'案件'!$A$6:$A$105,0)),OR(D144="材料費",D144="労務費",D144="外注費",D144="経費")),0,K144)),0)</f>
        <v/>
      </c>
    </row>
    <row r="145" ht="16" customHeight="1">
      <c r="A145" s="35" t="n"/>
      <c r="B145" s="36" t="n"/>
      <c r="C145" s="37">
        <f>IF(B145="","",IFERROR(INDEX('案件'!$B$6:$B$105,MATCH(B145,'案件'!$A$6:$A$105,0))&amp;"","（案件シートに無い番号）"))</f>
        <v/>
      </c>
      <c r="D145" s="36" t="n"/>
      <c r="E145" s="38" t="n"/>
      <c r="F145" s="39" t="n"/>
      <c r="G145" s="36" t="n"/>
      <c r="H145" s="40" t="n"/>
      <c r="I145" s="40" t="n"/>
      <c r="J145" s="41">
        <f>IF(ISNUMBER(H145),H145,IF(AND(D145="労務費",TRIM(E145)&lt;&gt;""),IFERROR(INDEX('設定'!$G$12:$G$31,MATCH(TRIM(E145),'設定'!$J$12:$J$31,0)),""),""))</f>
        <v/>
      </c>
      <c r="K145" s="30">
        <f>IF(AND(ISNUMBER(F145),ISNUMBER(J145)),ROUND(F145*J145,0),IF(ISNUMBER(I145),I145,""))</f>
        <v/>
      </c>
      <c r="L145" s="33" t="n"/>
      <c r="M145" s="34">
        <f>IF(COUNTA(A145:B145,D145:I145,L145)=0,"",IF(B145="","案件番号がありません",IF(ISNA(MATCH(B145,'案件'!$A$6:$A$105,0)),"案件シートに無い番号です",IF(NOT(OR(D145="材料費",D145="労務費",D145="外注費",D145="経費")),"費目を4つから選んでください",IF(K145="",IF(AND(ISNUMBER(F145),NOT(ISNUMBER(J145))),IF(D145="労務費","単価がありません（設定の作業者名と同じ書き方に）","単価がありません"),IF(AND(ISNUMBER(J145),NOT(ISNUMBER(F145))),"数量がありません","金額がありません")),IF(NOT(ISNUMBER(A145)),"日付がありません（月別集計に入りません）",IF(AND(ISNUMBER(F145),ISNUMBER(J145),ISNUMBER(I145)),"数量×単価を使いました（金額の欄は使っていません）","")))))))</f>
        <v/>
      </c>
      <c r="N145" s="91">
        <f>IF(AND(B145&lt;&gt;"",B145='案件カード'!$C$3),COUNTIF($B$5:B145,'案件カード'!$C$3),"")</f>
        <v/>
      </c>
      <c r="O145" s="91">
        <f>IF(ISNUMBER(K145),IF(B145="",K145,IF(AND(ISNUMBER(MATCH(B145,'案件'!$A$6:$A$105,0)),OR(D145="材料費",D145="労務費",D145="外注費",D145="経費")),0,K145)),0)</f>
        <v/>
      </c>
    </row>
    <row r="146" ht="16" customHeight="1">
      <c r="A146" s="35" t="n"/>
      <c r="B146" s="36" t="n"/>
      <c r="C146" s="37">
        <f>IF(B146="","",IFERROR(INDEX('案件'!$B$6:$B$105,MATCH(B146,'案件'!$A$6:$A$105,0))&amp;"","（案件シートに無い番号）"))</f>
        <v/>
      </c>
      <c r="D146" s="36" t="n"/>
      <c r="E146" s="38" t="n"/>
      <c r="F146" s="39" t="n"/>
      <c r="G146" s="36" t="n"/>
      <c r="H146" s="40" t="n"/>
      <c r="I146" s="40" t="n"/>
      <c r="J146" s="41">
        <f>IF(ISNUMBER(H146),H146,IF(AND(D146="労務費",TRIM(E146)&lt;&gt;""),IFERROR(INDEX('設定'!$G$12:$G$31,MATCH(TRIM(E146),'設定'!$J$12:$J$31,0)),""),""))</f>
        <v/>
      </c>
      <c r="K146" s="30">
        <f>IF(AND(ISNUMBER(F146),ISNUMBER(J146)),ROUND(F146*J146,0),IF(ISNUMBER(I146),I146,""))</f>
        <v/>
      </c>
      <c r="L146" s="33" t="n"/>
      <c r="M146" s="34">
        <f>IF(COUNTA(A146:B146,D146:I146,L146)=0,"",IF(B146="","案件番号がありません",IF(ISNA(MATCH(B146,'案件'!$A$6:$A$105,0)),"案件シートに無い番号です",IF(NOT(OR(D146="材料費",D146="労務費",D146="外注費",D146="経費")),"費目を4つから選んでください",IF(K146="",IF(AND(ISNUMBER(F146),NOT(ISNUMBER(J146))),IF(D146="労務費","単価がありません（設定の作業者名と同じ書き方に）","単価がありません"),IF(AND(ISNUMBER(J146),NOT(ISNUMBER(F146))),"数量がありません","金額がありません")),IF(NOT(ISNUMBER(A146)),"日付がありません（月別集計に入りません）",IF(AND(ISNUMBER(F146),ISNUMBER(J146),ISNUMBER(I146)),"数量×単価を使いました（金額の欄は使っていません）","")))))))</f>
        <v/>
      </c>
      <c r="N146" s="91">
        <f>IF(AND(B146&lt;&gt;"",B146='案件カード'!$C$3),COUNTIF($B$5:B146,'案件カード'!$C$3),"")</f>
        <v/>
      </c>
      <c r="O146" s="91">
        <f>IF(ISNUMBER(K146),IF(B146="",K146,IF(AND(ISNUMBER(MATCH(B146,'案件'!$A$6:$A$105,0)),OR(D146="材料費",D146="労務費",D146="外注費",D146="経費")),0,K146)),0)</f>
        <v/>
      </c>
    </row>
    <row r="147" ht="16" customHeight="1">
      <c r="A147" s="35" t="n"/>
      <c r="B147" s="36" t="n"/>
      <c r="C147" s="37">
        <f>IF(B147="","",IFERROR(INDEX('案件'!$B$6:$B$105,MATCH(B147,'案件'!$A$6:$A$105,0))&amp;"","（案件シートに無い番号）"))</f>
        <v/>
      </c>
      <c r="D147" s="36" t="n"/>
      <c r="E147" s="38" t="n"/>
      <c r="F147" s="39" t="n"/>
      <c r="G147" s="36" t="n"/>
      <c r="H147" s="40" t="n"/>
      <c r="I147" s="40" t="n"/>
      <c r="J147" s="41">
        <f>IF(ISNUMBER(H147),H147,IF(AND(D147="労務費",TRIM(E147)&lt;&gt;""),IFERROR(INDEX('設定'!$G$12:$G$31,MATCH(TRIM(E147),'設定'!$J$12:$J$31,0)),""),""))</f>
        <v/>
      </c>
      <c r="K147" s="30">
        <f>IF(AND(ISNUMBER(F147),ISNUMBER(J147)),ROUND(F147*J147,0),IF(ISNUMBER(I147),I147,""))</f>
        <v/>
      </c>
      <c r="L147" s="33" t="n"/>
      <c r="M147" s="34">
        <f>IF(COUNTA(A147:B147,D147:I147,L147)=0,"",IF(B147="","案件番号がありません",IF(ISNA(MATCH(B147,'案件'!$A$6:$A$105,0)),"案件シートに無い番号です",IF(NOT(OR(D147="材料費",D147="労務費",D147="外注費",D147="経費")),"費目を4つから選んでください",IF(K147="",IF(AND(ISNUMBER(F147),NOT(ISNUMBER(J147))),IF(D147="労務費","単価がありません（設定の作業者名と同じ書き方に）","単価がありません"),IF(AND(ISNUMBER(J147),NOT(ISNUMBER(F147))),"数量がありません","金額がありません")),IF(NOT(ISNUMBER(A147)),"日付がありません（月別集計に入りません）",IF(AND(ISNUMBER(F147),ISNUMBER(J147),ISNUMBER(I147)),"数量×単価を使いました（金額の欄は使っていません）","")))))))</f>
        <v/>
      </c>
      <c r="N147" s="91">
        <f>IF(AND(B147&lt;&gt;"",B147='案件カード'!$C$3),COUNTIF($B$5:B147,'案件カード'!$C$3),"")</f>
        <v/>
      </c>
      <c r="O147" s="91">
        <f>IF(ISNUMBER(K147),IF(B147="",K147,IF(AND(ISNUMBER(MATCH(B147,'案件'!$A$6:$A$105,0)),OR(D147="材料費",D147="労務費",D147="外注費",D147="経費")),0,K147)),0)</f>
        <v/>
      </c>
    </row>
    <row r="148" ht="16" customHeight="1">
      <c r="A148" s="35" t="n"/>
      <c r="B148" s="36" t="n"/>
      <c r="C148" s="37">
        <f>IF(B148="","",IFERROR(INDEX('案件'!$B$6:$B$105,MATCH(B148,'案件'!$A$6:$A$105,0))&amp;"","（案件シートに無い番号）"))</f>
        <v/>
      </c>
      <c r="D148" s="36" t="n"/>
      <c r="E148" s="38" t="n"/>
      <c r="F148" s="39" t="n"/>
      <c r="G148" s="36" t="n"/>
      <c r="H148" s="40" t="n"/>
      <c r="I148" s="40" t="n"/>
      <c r="J148" s="41">
        <f>IF(ISNUMBER(H148),H148,IF(AND(D148="労務費",TRIM(E148)&lt;&gt;""),IFERROR(INDEX('設定'!$G$12:$G$31,MATCH(TRIM(E148),'設定'!$J$12:$J$31,0)),""),""))</f>
        <v/>
      </c>
      <c r="K148" s="30">
        <f>IF(AND(ISNUMBER(F148),ISNUMBER(J148)),ROUND(F148*J148,0),IF(ISNUMBER(I148),I148,""))</f>
        <v/>
      </c>
      <c r="L148" s="33" t="n"/>
      <c r="M148" s="34">
        <f>IF(COUNTA(A148:B148,D148:I148,L148)=0,"",IF(B148="","案件番号がありません",IF(ISNA(MATCH(B148,'案件'!$A$6:$A$105,0)),"案件シートに無い番号です",IF(NOT(OR(D148="材料費",D148="労務費",D148="外注費",D148="経費")),"費目を4つから選んでください",IF(K148="",IF(AND(ISNUMBER(F148),NOT(ISNUMBER(J148))),IF(D148="労務費","単価がありません（設定の作業者名と同じ書き方に）","単価がありません"),IF(AND(ISNUMBER(J148),NOT(ISNUMBER(F148))),"数量がありません","金額がありません")),IF(NOT(ISNUMBER(A148)),"日付がありません（月別集計に入りません）",IF(AND(ISNUMBER(F148),ISNUMBER(J148),ISNUMBER(I148)),"数量×単価を使いました（金額の欄は使っていません）","")))))))</f>
        <v/>
      </c>
      <c r="N148" s="91">
        <f>IF(AND(B148&lt;&gt;"",B148='案件カード'!$C$3),COUNTIF($B$5:B148,'案件カード'!$C$3),"")</f>
        <v/>
      </c>
      <c r="O148" s="91">
        <f>IF(ISNUMBER(K148),IF(B148="",K148,IF(AND(ISNUMBER(MATCH(B148,'案件'!$A$6:$A$105,0)),OR(D148="材料費",D148="労務費",D148="外注費",D148="経費")),0,K148)),0)</f>
        <v/>
      </c>
    </row>
    <row r="149" ht="16" customHeight="1">
      <c r="A149" s="35" t="n"/>
      <c r="B149" s="36" t="n"/>
      <c r="C149" s="37">
        <f>IF(B149="","",IFERROR(INDEX('案件'!$B$6:$B$105,MATCH(B149,'案件'!$A$6:$A$105,0))&amp;"","（案件シートに無い番号）"))</f>
        <v/>
      </c>
      <c r="D149" s="36" t="n"/>
      <c r="E149" s="38" t="n"/>
      <c r="F149" s="39" t="n"/>
      <c r="G149" s="36" t="n"/>
      <c r="H149" s="40" t="n"/>
      <c r="I149" s="40" t="n"/>
      <c r="J149" s="41">
        <f>IF(ISNUMBER(H149),H149,IF(AND(D149="労務費",TRIM(E149)&lt;&gt;""),IFERROR(INDEX('設定'!$G$12:$G$31,MATCH(TRIM(E149),'設定'!$J$12:$J$31,0)),""),""))</f>
        <v/>
      </c>
      <c r="K149" s="30">
        <f>IF(AND(ISNUMBER(F149),ISNUMBER(J149)),ROUND(F149*J149,0),IF(ISNUMBER(I149),I149,""))</f>
        <v/>
      </c>
      <c r="L149" s="33" t="n"/>
      <c r="M149" s="34">
        <f>IF(COUNTA(A149:B149,D149:I149,L149)=0,"",IF(B149="","案件番号がありません",IF(ISNA(MATCH(B149,'案件'!$A$6:$A$105,0)),"案件シートに無い番号です",IF(NOT(OR(D149="材料費",D149="労務費",D149="外注費",D149="経費")),"費目を4つから選んでください",IF(K149="",IF(AND(ISNUMBER(F149),NOT(ISNUMBER(J149))),IF(D149="労務費","単価がありません（設定の作業者名と同じ書き方に）","単価がありません"),IF(AND(ISNUMBER(J149),NOT(ISNUMBER(F149))),"数量がありません","金額がありません")),IF(NOT(ISNUMBER(A149)),"日付がありません（月別集計に入りません）",IF(AND(ISNUMBER(F149),ISNUMBER(J149),ISNUMBER(I149)),"数量×単価を使いました（金額の欄は使っていません）","")))))))</f>
        <v/>
      </c>
      <c r="N149" s="91">
        <f>IF(AND(B149&lt;&gt;"",B149='案件カード'!$C$3),COUNTIF($B$5:B149,'案件カード'!$C$3),"")</f>
        <v/>
      </c>
      <c r="O149" s="91">
        <f>IF(ISNUMBER(K149),IF(B149="",K149,IF(AND(ISNUMBER(MATCH(B149,'案件'!$A$6:$A$105,0)),OR(D149="材料費",D149="労務費",D149="外注費",D149="経費")),0,K149)),0)</f>
        <v/>
      </c>
    </row>
    <row r="150" ht="16" customHeight="1">
      <c r="A150" s="35" t="n"/>
      <c r="B150" s="36" t="n"/>
      <c r="C150" s="37">
        <f>IF(B150="","",IFERROR(INDEX('案件'!$B$6:$B$105,MATCH(B150,'案件'!$A$6:$A$105,0))&amp;"","（案件シートに無い番号）"))</f>
        <v/>
      </c>
      <c r="D150" s="36" t="n"/>
      <c r="E150" s="38" t="n"/>
      <c r="F150" s="39" t="n"/>
      <c r="G150" s="36" t="n"/>
      <c r="H150" s="40" t="n"/>
      <c r="I150" s="40" t="n"/>
      <c r="J150" s="41">
        <f>IF(ISNUMBER(H150),H150,IF(AND(D150="労務費",TRIM(E150)&lt;&gt;""),IFERROR(INDEX('設定'!$G$12:$G$31,MATCH(TRIM(E150),'設定'!$J$12:$J$31,0)),""),""))</f>
        <v/>
      </c>
      <c r="K150" s="30">
        <f>IF(AND(ISNUMBER(F150),ISNUMBER(J150)),ROUND(F150*J150,0),IF(ISNUMBER(I150),I150,""))</f>
        <v/>
      </c>
      <c r="L150" s="33" t="n"/>
      <c r="M150" s="34">
        <f>IF(COUNTA(A150:B150,D150:I150,L150)=0,"",IF(B150="","案件番号がありません",IF(ISNA(MATCH(B150,'案件'!$A$6:$A$105,0)),"案件シートに無い番号です",IF(NOT(OR(D150="材料費",D150="労務費",D150="外注費",D150="経費")),"費目を4つから選んでください",IF(K150="",IF(AND(ISNUMBER(F150),NOT(ISNUMBER(J150))),IF(D150="労務費","単価がありません（設定の作業者名と同じ書き方に）","単価がありません"),IF(AND(ISNUMBER(J150),NOT(ISNUMBER(F150))),"数量がありません","金額がありません")),IF(NOT(ISNUMBER(A150)),"日付がありません（月別集計に入りません）",IF(AND(ISNUMBER(F150),ISNUMBER(J150),ISNUMBER(I150)),"数量×単価を使いました（金額の欄は使っていません）","")))))))</f>
        <v/>
      </c>
      <c r="N150" s="91">
        <f>IF(AND(B150&lt;&gt;"",B150='案件カード'!$C$3),COUNTIF($B$5:B150,'案件カード'!$C$3),"")</f>
        <v/>
      </c>
      <c r="O150" s="91">
        <f>IF(ISNUMBER(K150),IF(B150="",K150,IF(AND(ISNUMBER(MATCH(B150,'案件'!$A$6:$A$105,0)),OR(D150="材料費",D150="労務費",D150="外注費",D150="経費")),0,K150)),0)</f>
        <v/>
      </c>
    </row>
    <row r="151" ht="16" customHeight="1">
      <c r="A151" s="35" t="n"/>
      <c r="B151" s="36" t="n"/>
      <c r="C151" s="37">
        <f>IF(B151="","",IFERROR(INDEX('案件'!$B$6:$B$105,MATCH(B151,'案件'!$A$6:$A$105,0))&amp;"","（案件シートに無い番号）"))</f>
        <v/>
      </c>
      <c r="D151" s="36" t="n"/>
      <c r="E151" s="38" t="n"/>
      <c r="F151" s="39" t="n"/>
      <c r="G151" s="36" t="n"/>
      <c r="H151" s="40" t="n"/>
      <c r="I151" s="40" t="n"/>
      <c r="J151" s="41">
        <f>IF(ISNUMBER(H151),H151,IF(AND(D151="労務費",TRIM(E151)&lt;&gt;""),IFERROR(INDEX('設定'!$G$12:$G$31,MATCH(TRIM(E151),'設定'!$J$12:$J$31,0)),""),""))</f>
        <v/>
      </c>
      <c r="K151" s="30">
        <f>IF(AND(ISNUMBER(F151),ISNUMBER(J151)),ROUND(F151*J151,0),IF(ISNUMBER(I151),I151,""))</f>
        <v/>
      </c>
      <c r="L151" s="33" t="n"/>
      <c r="M151" s="34">
        <f>IF(COUNTA(A151:B151,D151:I151,L151)=0,"",IF(B151="","案件番号がありません",IF(ISNA(MATCH(B151,'案件'!$A$6:$A$105,0)),"案件シートに無い番号です",IF(NOT(OR(D151="材料費",D151="労務費",D151="外注費",D151="経費")),"費目を4つから選んでください",IF(K151="",IF(AND(ISNUMBER(F151),NOT(ISNUMBER(J151))),IF(D151="労務費","単価がありません（設定の作業者名と同じ書き方に）","単価がありません"),IF(AND(ISNUMBER(J151),NOT(ISNUMBER(F151))),"数量がありません","金額がありません")),IF(NOT(ISNUMBER(A151)),"日付がありません（月別集計に入りません）",IF(AND(ISNUMBER(F151),ISNUMBER(J151),ISNUMBER(I151)),"数量×単価を使いました（金額の欄は使っていません）","")))))))</f>
        <v/>
      </c>
      <c r="N151" s="91">
        <f>IF(AND(B151&lt;&gt;"",B151='案件カード'!$C$3),COUNTIF($B$5:B151,'案件カード'!$C$3),"")</f>
        <v/>
      </c>
      <c r="O151" s="91">
        <f>IF(ISNUMBER(K151),IF(B151="",K151,IF(AND(ISNUMBER(MATCH(B151,'案件'!$A$6:$A$105,0)),OR(D151="材料費",D151="労務費",D151="外注費",D151="経費")),0,K151)),0)</f>
        <v/>
      </c>
    </row>
    <row r="152" ht="16" customHeight="1">
      <c r="A152" s="35" t="n"/>
      <c r="B152" s="36" t="n"/>
      <c r="C152" s="37">
        <f>IF(B152="","",IFERROR(INDEX('案件'!$B$6:$B$105,MATCH(B152,'案件'!$A$6:$A$105,0))&amp;"","（案件シートに無い番号）"))</f>
        <v/>
      </c>
      <c r="D152" s="36" t="n"/>
      <c r="E152" s="38" t="n"/>
      <c r="F152" s="39" t="n"/>
      <c r="G152" s="36" t="n"/>
      <c r="H152" s="40" t="n"/>
      <c r="I152" s="40" t="n"/>
      <c r="J152" s="41">
        <f>IF(ISNUMBER(H152),H152,IF(AND(D152="労務費",TRIM(E152)&lt;&gt;""),IFERROR(INDEX('設定'!$G$12:$G$31,MATCH(TRIM(E152),'設定'!$J$12:$J$31,0)),""),""))</f>
        <v/>
      </c>
      <c r="K152" s="30">
        <f>IF(AND(ISNUMBER(F152),ISNUMBER(J152)),ROUND(F152*J152,0),IF(ISNUMBER(I152),I152,""))</f>
        <v/>
      </c>
      <c r="L152" s="33" t="n"/>
      <c r="M152" s="34">
        <f>IF(COUNTA(A152:B152,D152:I152,L152)=0,"",IF(B152="","案件番号がありません",IF(ISNA(MATCH(B152,'案件'!$A$6:$A$105,0)),"案件シートに無い番号です",IF(NOT(OR(D152="材料費",D152="労務費",D152="外注費",D152="経費")),"費目を4つから選んでください",IF(K152="",IF(AND(ISNUMBER(F152),NOT(ISNUMBER(J152))),IF(D152="労務費","単価がありません（設定の作業者名と同じ書き方に）","単価がありません"),IF(AND(ISNUMBER(J152),NOT(ISNUMBER(F152))),"数量がありません","金額がありません")),IF(NOT(ISNUMBER(A152)),"日付がありません（月別集計に入りません）",IF(AND(ISNUMBER(F152),ISNUMBER(J152),ISNUMBER(I152)),"数量×単価を使いました（金額の欄は使っていません）","")))))))</f>
        <v/>
      </c>
      <c r="N152" s="91">
        <f>IF(AND(B152&lt;&gt;"",B152='案件カード'!$C$3),COUNTIF($B$5:B152,'案件カード'!$C$3),"")</f>
        <v/>
      </c>
      <c r="O152" s="91">
        <f>IF(ISNUMBER(K152),IF(B152="",K152,IF(AND(ISNUMBER(MATCH(B152,'案件'!$A$6:$A$105,0)),OR(D152="材料費",D152="労務費",D152="外注費",D152="経費")),0,K152)),0)</f>
        <v/>
      </c>
    </row>
    <row r="153" ht="16" customHeight="1">
      <c r="A153" s="35" t="n"/>
      <c r="B153" s="36" t="n"/>
      <c r="C153" s="37">
        <f>IF(B153="","",IFERROR(INDEX('案件'!$B$6:$B$105,MATCH(B153,'案件'!$A$6:$A$105,0))&amp;"","（案件シートに無い番号）"))</f>
        <v/>
      </c>
      <c r="D153" s="36" t="n"/>
      <c r="E153" s="38" t="n"/>
      <c r="F153" s="39" t="n"/>
      <c r="G153" s="36" t="n"/>
      <c r="H153" s="40" t="n"/>
      <c r="I153" s="40" t="n"/>
      <c r="J153" s="41">
        <f>IF(ISNUMBER(H153),H153,IF(AND(D153="労務費",TRIM(E153)&lt;&gt;""),IFERROR(INDEX('設定'!$G$12:$G$31,MATCH(TRIM(E153),'設定'!$J$12:$J$31,0)),""),""))</f>
        <v/>
      </c>
      <c r="K153" s="30">
        <f>IF(AND(ISNUMBER(F153),ISNUMBER(J153)),ROUND(F153*J153,0),IF(ISNUMBER(I153),I153,""))</f>
        <v/>
      </c>
      <c r="L153" s="33" t="n"/>
      <c r="M153" s="34">
        <f>IF(COUNTA(A153:B153,D153:I153,L153)=0,"",IF(B153="","案件番号がありません",IF(ISNA(MATCH(B153,'案件'!$A$6:$A$105,0)),"案件シートに無い番号です",IF(NOT(OR(D153="材料費",D153="労務費",D153="外注費",D153="経費")),"費目を4つから選んでください",IF(K153="",IF(AND(ISNUMBER(F153),NOT(ISNUMBER(J153))),IF(D153="労務費","単価がありません（設定の作業者名と同じ書き方に）","単価がありません"),IF(AND(ISNUMBER(J153),NOT(ISNUMBER(F153))),"数量がありません","金額がありません")),IF(NOT(ISNUMBER(A153)),"日付がありません（月別集計に入りません）",IF(AND(ISNUMBER(F153),ISNUMBER(J153),ISNUMBER(I153)),"数量×単価を使いました（金額の欄は使っていません）","")))))))</f>
        <v/>
      </c>
      <c r="N153" s="91">
        <f>IF(AND(B153&lt;&gt;"",B153='案件カード'!$C$3),COUNTIF($B$5:B153,'案件カード'!$C$3),"")</f>
        <v/>
      </c>
      <c r="O153" s="91">
        <f>IF(ISNUMBER(K153),IF(B153="",K153,IF(AND(ISNUMBER(MATCH(B153,'案件'!$A$6:$A$105,0)),OR(D153="材料費",D153="労務費",D153="外注費",D153="経費")),0,K153)),0)</f>
        <v/>
      </c>
    </row>
    <row r="154" ht="16" customHeight="1">
      <c r="A154" s="35" t="n"/>
      <c r="B154" s="36" t="n"/>
      <c r="C154" s="37">
        <f>IF(B154="","",IFERROR(INDEX('案件'!$B$6:$B$105,MATCH(B154,'案件'!$A$6:$A$105,0))&amp;"","（案件シートに無い番号）"))</f>
        <v/>
      </c>
      <c r="D154" s="36" t="n"/>
      <c r="E154" s="38" t="n"/>
      <c r="F154" s="39" t="n"/>
      <c r="G154" s="36" t="n"/>
      <c r="H154" s="40" t="n"/>
      <c r="I154" s="40" t="n"/>
      <c r="J154" s="41">
        <f>IF(ISNUMBER(H154),H154,IF(AND(D154="労務費",TRIM(E154)&lt;&gt;""),IFERROR(INDEX('設定'!$G$12:$G$31,MATCH(TRIM(E154),'設定'!$J$12:$J$31,0)),""),""))</f>
        <v/>
      </c>
      <c r="K154" s="30">
        <f>IF(AND(ISNUMBER(F154),ISNUMBER(J154)),ROUND(F154*J154,0),IF(ISNUMBER(I154),I154,""))</f>
        <v/>
      </c>
      <c r="L154" s="33" t="n"/>
      <c r="M154" s="34">
        <f>IF(COUNTA(A154:B154,D154:I154,L154)=0,"",IF(B154="","案件番号がありません",IF(ISNA(MATCH(B154,'案件'!$A$6:$A$105,0)),"案件シートに無い番号です",IF(NOT(OR(D154="材料費",D154="労務費",D154="外注費",D154="経費")),"費目を4つから選んでください",IF(K154="",IF(AND(ISNUMBER(F154),NOT(ISNUMBER(J154))),IF(D154="労務費","単価がありません（設定の作業者名と同じ書き方に）","単価がありません"),IF(AND(ISNUMBER(J154),NOT(ISNUMBER(F154))),"数量がありません","金額がありません")),IF(NOT(ISNUMBER(A154)),"日付がありません（月別集計に入りません）",IF(AND(ISNUMBER(F154),ISNUMBER(J154),ISNUMBER(I154)),"数量×単価を使いました（金額の欄は使っていません）","")))))))</f>
        <v/>
      </c>
      <c r="N154" s="91">
        <f>IF(AND(B154&lt;&gt;"",B154='案件カード'!$C$3),COUNTIF($B$5:B154,'案件カード'!$C$3),"")</f>
        <v/>
      </c>
      <c r="O154" s="91">
        <f>IF(ISNUMBER(K154),IF(B154="",K154,IF(AND(ISNUMBER(MATCH(B154,'案件'!$A$6:$A$105,0)),OR(D154="材料費",D154="労務費",D154="外注費",D154="経費")),0,K154)),0)</f>
        <v/>
      </c>
    </row>
    <row r="155" ht="16" customHeight="1">
      <c r="A155" s="35" t="n"/>
      <c r="B155" s="36" t="n"/>
      <c r="C155" s="37">
        <f>IF(B155="","",IFERROR(INDEX('案件'!$B$6:$B$105,MATCH(B155,'案件'!$A$6:$A$105,0))&amp;"","（案件シートに無い番号）"))</f>
        <v/>
      </c>
      <c r="D155" s="36" t="n"/>
      <c r="E155" s="38" t="n"/>
      <c r="F155" s="39" t="n"/>
      <c r="G155" s="36" t="n"/>
      <c r="H155" s="40" t="n"/>
      <c r="I155" s="40" t="n"/>
      <c r="J155" s="41">
        <f>IF(ISNUMBER(H155),H155,IF(AND(D155="労務費",TRIM(E155)&lt;&gt;""),IFERROR(INDEX('設定'!$G$12:$G$31,MATCH(TRIM(E155),'設定'!$J$12:$J$31,0)),""),""))</f>
        <v/>
      </c>
      <c r="K155" s="30">
        <f>IF(AND(ISNUMBER(F155),ISNUMBER(J155)),ROUND(F155*J155,0),IF(ISNUMBER(I155),I155,""))</f>
        <v/>
      </c>
      <c r="L155" s="33" t="n"/>
      <c r="M155" s="34">
        <f>IF(COUNTA(A155:B155,D155:I155,L155)=0,"",IF(B155="","案件番号がありません",IF(ISNA(MATCH(B155,'案件'!$A$6:$A$105,0)),"案件シートに無い番号です",IF(NOT(OR(D155="材料費",D155="労務費",D155="外注費",D155="経費")),"費目を4つから選んでください",IF(K155="",IF(AND(ISNUMBER(F155),NOT(ISNUMBER(J155))),IF(D155="労務費","単価がありません（設定の作業者名と同じ書き方に）","単価がありません"),IF(AND(ISNUMBER(J155),NOT(ISNUMBER(F155))),"数量がありません","金額がありません")),IF(NOT(ISNUMBER(A155)),"日付がありません（月別集計に入りません）",IF(AND(ISNUMBER(F155),ISNUMBER(J155),ISNUMBER(I155)),"数量×単価を使いました（金額の欄は使っていません）","")))))))</f>
        <v/>
      </c>
      <c r="N155" s="91">
        <f>IF(AND(B155&lt;&gt;"",B155='案件カード'!$C$3),COUNTIF($B$5:B155,'案件カード'!$C$3),"")</f>
        <v/>
      </c>
      <c r="O155" s="91">
        <f>IF(ISNUMBER(K155),IF(B155="",K155,IF(AND(ISNUMBER(MATCH(B155,'案件'!$A$6:$A$105,0)),OR(D155="材料費",D155="労務費",D155="外注費",D155="経費")),0,K155)),0)</f>
        <v/>
      </c>
    </row>
    <row r="156" ht="16" customHeight="1">
      <c r="A156" s="35" t="n"/>
      <c r="B156" s="36" t="n"/>
      <c r="C156" s="37">
        <f>IF(B156="","",IFERROR(INDEX('案件'!$B$6:$B$105,MATCH(B156,'案件'!$A$6:$A$105,0))&amp;"","（案件シートに無い番号）"))</f>
        <v/>
      </c>
      <c r="D156" s="36" t="n"/>
      <c r="E156" s="38" t="n"/>
      <c r="F156" s="39" t="n"/>
      <c r="G156" s="36" t="n"/>
      <c r="H156" s="40" t="n"/>
      <c r="I156" s="40" t="n"/>
      <c r="J156" s="41">
        <f>IF(ISNUMBER(H156),H156,IF(AND(D156="労務費",TRIM(E156)&lt;&gt;""),IFERROR(INDEX('設定'!$G$12:$G$31,MATCH(TRIM(E156),'設定'!$J$12:$J$31,0)),""),""))</f>
        <v/>
      </c>
      <c r="K156" s="30">
        <f>IF(AND(ISNUMBER(F156),ISNUMBER(J156)),ROUND(F156*J156,0),IF(ISNUMBER(I156),I156,""))</f>
        <v/>
      </c>
      <c r="L156" s="33" t="n"/>
      <c r="M156" s="34">
        <f>IF(COUNTA(A156:B156,D156:I156,L156)=0,"",IF(B156="","案件番号がありません",IF(ISNA(MATCH(B156,'案件'!$A$6:$A$105,0)),"案件シートに無い番号です",IF(NOT(OR(D156="材料費",D156="労務費",D156="外注費",D156="経費")),"費目を4つから選んでください",IF(K156="",IF(AND(ISNUMBER(F156),NOT(ISNUMBER(J156))),IF(D156="労務費","単価がありません（設定の作業者名と同じ書き方に）","単価がありません"),IF(AND(ISNUMBER(J156),NOT(ISNUMBER(F156))),"数量がありません","金額がありません")),IF(NOT(ISNUMBER(A156)),"日付がありません（月別集計に入りません）",IF(AND(ISNUMBER(F156),ISNUMBER(J156),ISNUMBER(I156)),"数量×単価を使いました（金額の欄は使っていません）","")))))))</f>
        <v/>
      </c>
      <c r="N156" s="91">
        <f>IF(AND(B156&lt;&gt;"",B156='案件カード'!$C$3),COUNTIF($B$5:B156,'案件カード'!$C$3),"")</f>
        <v/>
      </c>
      <c r="O156" s="91">
        <f>IF(ISNUMBER(K156),IF(B156="",K156,IF(AND(ISNUMBER(MATCH(B156,'案件'!$A$6:$A$105,0)),OR(D156="材料費",D156="労務費",D156="外注費",D156="経費")),0,K156)),0)</f>
        <v/>
      </c>
    </row>
    <row r="157" ht="16" customHeight="1">
      <c r="A157" s="35" t="n"/>
      <c r="B157" s="36" t="n"/>
      <c r="C157" s="37">
        <f>IF(B157="","",IFERROR(INDEX('案件'!$B$6:$B$105,MATCH(B157,'案件'!$A$6:$A$105,0))&amp;"","（案件シートに無い番号）"))</f>
        <v/>
      </c>
      <c r="D157" s="36" t="n"/>
      <c r="E157" s="38" t="n"/>
      <c r="F157" s="39" t="n"/>
      <c r="G157" s="36" t="n"/>
      <c r="H157" s="40" t="n"/>
      <c r="I157" s="40" t="n"/>
      <c r="J157" s="41">
        <f>IF(ISNUMBER(H157),H157,IF(AND(D157="労務費",TRIM(E157)&lt;&gt;""),IFERROR(INDEX('設定'!$G$12:$G$31,MATCH(TRIM(E157),'設定'!$J$12:$J$31,0)),""),""))</f>
        <v/>
      </c>
      <c r="K157" s="30">
        <f>IF(AND(ISNUMBER(F157),ISNUMBER(J157)),ROUND(F157*J157,0),IF(ISNUMBER(I157),I157,""))</f>
        <v/>
      </c>
      <c r="L157" s="33" t="n"/>
      <c r="M157" s="34">
        <f>IF(COUNTA(A157:B157,D157:I157,L157)=0,"",IF(B157="","案件番号がありません",IF(ISNA(MATCH(B157,'案件'!$A$6:$A$105,0)),"案件シートに無い番号です",IF(NOT(OR(D157="材料費",D157="労務費",D157="外注費",D157="経費")),"費目を4つから選んでください",IF(K157="",IF(AND(ISNUMBER(F157),NOT(ISNUMBER(J157))),IF(D157="労務費","単価がありません（設定の作業者名と同じ書き方に）","単価がありません"),IF(AND(ISNUMBER(J157),NOT(ISNUMBER(F157))),"数量がありません","金額がありません")),IF(NOT(ISNUMBER(A157)),"日付がありません（月別集計に入りません）",IF(AND(ISNUMBER(F157),ISNUMBER(J157),ISNUMBER(I157)),"数量×単価を使いました（金額の欄は使っていません）","")))))))</f>
        <v/>
      </c>
      <c r="N157" s="91">
        <f>IF(AND(B157&lt;&gt;"",B157='案件カード'!$C$3),COUNTIF($B$5:B157,'案件カード'!$C$3),"")</f>
        <v/>
      </c>
      <c r="O157" s="91">
        <f>IF(ISNUMBER(K157),IF(B157="",K157,IF(AND(ISNUMBER(MATCH(B157,'案件'!$A$6:$A$105,0)),OR(D157="材料費",D157="労務費",D157="外注費",D157="経費")),0,K157)),0)</f>
        <v/>
      </c>
    </row>
    <row r="158" ht="16" customHeight="1">
      <c r="A158" s="35" t="n"/>
      <c r="B158" s="36" t="n"/>
      <c r="C158" s="37">
        <f>IF(B158="","",IFERROR(INDEX('案件'!$B$6:$B$105,MATCH(B158,'案件'!$A$6:$A$105,0))&amp;"","（案件シートに無い番号）"))</f>
        <v/>
      </c>
      <c r="D158" s="36" t="n"/>
      <c r="E158" s="38" t="n"/>
      <c r="F158" s="39" t="n"/>
      <c r="G158" s="36" t="n"/>
      <c r="H158" s="40" t="n"/>
      <c r="I158" s="40" t="n"/>
      <c r="J158" s="41">
        <f>IF(ISNUMBER(H158),H158,IF(AND(D158="労務費",TRIM(E158)&lt;&gt;""),IFERROR(INDEX('設定'!$G$12:$G$31,MATCH(TRIM(E158),'設定'!$J$12:$J$31,0)),""),""))</f>
        <v/>
      </c>
      <c r="K158" s="30">
        <f>IF(AND(ISNUMBER(F158),ISNUMBER(J158)),ROUND(F158*J158,0),IF(ISNUMBER(I158),I158,""))</f>
        <v/>
      </c>
      <c r="L158" s="33" t="n"/>
      <c r="M158" s="34">
        <f>IF(COUNTA(A158:B158,D158:I158,L158)=0,"",IF(B158="","案件番号がありません",IF(ISNA(MATCH(B158,'案件'!$A$6:$A$105,0)),"案件シートに無い番号です",IF(NOT(OR(D158="材料費",D158="労務費",D158="外注費",D158="経費")),"費目を4つから選んでください",IF(K158="",IF(AND(ISNUMBER(F158),NOT(ISNUMBER(J158))),IF(D158="労務費","単価がありません（設定の作業者名と同じ書き方に）","単価がありません"),IF(AND(ISNUMBER(J158),NOT(ISNUMBER(F158))),"数量がありません","金額がありません")),IF(NOT(ISNUMBER(A158)),"日付がありません（月別集計に入りません）",IF(AND(ISNUMBER(F158),ISNUMBER(J158),ISNUMBER(I158)),"数量×単価を使いました（金額の欄は使っていません）","")))))))</f>
        <v/>
      </c>
      <c r="N158" s="91">
        <f>IF(AND(B158&lt;&gt;"",B158='案件カード'!$C$3),COUNTIF($B$5:B158,'案件カード'!$C$3),"")</f>
        <v/>
      </c>
      <c r="O158" s="91">
        <f>IF(ISNUMBER(K158),IF(B158="",K158,IF(AND(ISNUMBER(MATCH(B158,'案件'!$A$6:$A$105,0)),OR(D158="材料費",D158="労務費",D158="外注費",D158="経費")),0,K158)),0)</f>
        <v/>
      </c>
    </row>
    <row r="159" ht="16" customHeight="1">
      <c r="A159" s="35" t="n"/>
      <c r="B159" s="36" t="n"/>
      <c r="C159" s="37">
        <f>IF(B159="","",IFERROR(INDEX('案件'!$B$6:$B$105,MATCH(B159,'案件'!$A$6:$A$105,0))&amp;"","（案件シートに無い番号）"))</f>
        <v/>
      </c>
      <c r="D159" s="36" t="n"/>
      <c r="E159" s="38" t="n"/>
      <c r="F159" s="39" t="n"/>
      <c r="G159" s="36" t="n"/>
      <c r="H159" s="40" t="n"/>
      <c r="I159" s="40" t="n"/>
      <c r="J159" s="41">
        <f>IF(ISNUMBER(H159),H159,IF(AND(D159="労務費",TRIM(E159)&lt;&gt;""),IFERROR(INDEX('設定'!$G$12:$G$31,MATCH(TRIM(E159),'設定'!$J$12:$J$31,0)),""),""))</f>
        <v/>
      </c>
      <c r="K159" s="30">
        <f>IF(AND(ISNUMBER(F159),ISNUMBER(J159)),ROUND(F159*J159,0),IF(ISNUMBER(I159),I159,""))</f>
        <v/>
      </c>
      <c r="L159" s="33" t="n"/>
      <c r="M159" s="34">
        <f>IF(COUNTA(A159:B159,D159:I159,L159)=0,"",IF(B159="","案件番号がありません",IF(ISNA(MATCH(B159,'案件'!$A$6:$A$105,0)),"案件シートに無い番号です",IF(NOT(OR(D159="材料費",D159="労務費",D159="外注費",D159="経費")),"費目を4つから選んでください",IF(K159="",IF(AND(ISNUMBER(F159),NOT(ISNUMBER(J159))),IF(D159="労務費","単価がありません（設定の作業者名と同じ書き方に）","単価がありません"),IF(AND(ISNUMBER(J159),NOT(ISNUMBER(F159))),"数量がありません","金額がありません")),IF(NOT(ISNUMBER(A159)),"日付がありません（月別集計に入りません）",IF(AND(ISNUMBER(F159),ISNUMBER(J159),ISNUMBER(I159)),"数量×単価を使いました（金額の欄は使っていません）","")))))))</f>
        <v/>
      </c>
      <c r="N159" s="91">
        <f>IF(AND(B159&lt;&gt;"",B159='案件カード'!$C$3),COUNTIF($B$5:B159,'案件カード'!$C$3),"")</f>
        <v/>
      </c>
      <c r="O159" s="91">
        <f>IF(ISNUMBER(K159),IF(B159="",K159,IF(AND(ISNUMBER(MATCH(B159,'案件'!$A$6:$A$105,0)),OR(D159="材料費",D159="労務費",D159="外注費",D159="経費")),0,K159)),0)</f>
        <v/>
      </c>
    </row>
    <row r="160" ht="16" customHeight="1">
      <c r="A160" s="35" t="n"/>
      <c r="B160" s="36" t="n"/>
      <c r="C160" s="37">
        <f>IF(B160="","",IFERROR(INDEX('案件'!$B$6:$B$105,MATCH(B160,'案件'!$A$6:$A$105,0))&amp;"","（案件シートに無い番号）"))</f>
        <v/>
      </c>
      <c r="D160" s="36" t="n"/>
      <c r="E160" s="38" t="n"/>
      <c r="F160" s="39" t="n"/>
      <c r="G160" s="36" t="n"/>
      <c r="H160" s="40" t="n"/>
      <c r="I160" s="40" t="n"/>
      <c r="J160" s="41">
        <f>IF(ISNUMBER(H160),H160,IF(AND(D160="労務費",TRIM(E160)&lt;&gt;""),IFERROR(INDEX('設定'!$G$12:$G$31,MATCH(TRIM(E160),'設定'!$J$12:$J$31,0)),""),""))</f>
        <v/>
      </c>
      <c r="K160" s="30">
        <f>IF(AND(ISNUMBER(F160),ISNUMBER(J160)),ROUND(F160*J160,0),IF(ISNUMBER(I160),I160,""))</f>
        <v/>
      </c>
      <c r="L160" s="33" t="n"/>
      <c r="M160" s="34">
        <f>IF(COUNTA(A160:B160,D160:I160,L160)=0,"",IF(B160="","案件番号がありません",IF(ISNA(MATCH(B160,'案件'!$A$6:$A$105,0)),"案件シートに無い番号です",IF(NOT(OR(D160="材料費",D160="労務費",D160="外注費",D160="経費")),"費目を4つから選んでください",IF(K160="",IF(AND(ISNUMBER(F160),NOT(ISNUMBER(J160))),IF(D160="労務費","単価がありません（設定の作業者名と同じ書き方に）","単価がありません"),IF(AND(ISNUMBER(J160),NOT(ISNUMBER(F160))),"数量がありません","金額がありません")),IF(NOT(ISNUMBER(A160)),"日付がありません（月別集計に入りません）",IF(AND(ISNUMBER(F160),ISNUMBER(J160),ISNUMBER(I160)),"数量×単価を使いました（金額の欄は使っていません）","")))))))</f>
        <v/>
      </c>
      <c r="N160" s="91">
        <f>IF(AND(B160&lt;&gt;"",B160='案件カード'!$C$3),COUNTIF($B$5:B160,'案件カード'!$C$3),"")</f>
        <v/>
      </c>
      <c r="O160" s="91">
        <f>IF(ISNUMBER(K160),IF(B160="",K160,IF(AND(ISNUMBER(MATCH(B160,'案件'!$A$6:$A$105,0)),OR(D160="材料費",D160="労務費",D160="外注費",D160="経費")),0,K160)),0)</f>
        <v/>
      </c>
    </row>
    <row r="161" ht="16" customHeight="1">
      <c r="A161" s="35" t="n"/>
      <c r="B161" s="36" t="n"/>
      <c r="C161" s="37">
        <f>IF(B161="","",IFERROR(INDEX('案件'!$B$6:$B$105,MATCH(B161,'案件'!$A$6:$A$105,0))&amp;"","（案件シートに無い番号）"))</f>
        <v/>
      </c>
      <c r="D161" s="36" t="n"/>
      <c r="E161" s="38" t="n"/>
      <c r="F161" s="39" t="n"/>
      <c r="G161" s="36" t="n"/>
      <c r="H161" s="40" t="n"/>
      <c r="I161" s="40" t="n"/>
      <c r="J161" s="41">
        <f>IF(ISNUMBER(H161),H161,IF(AND(D161="労務費",TRIM(E161)&lt;&gt;""),IFERROR(INDEX('設定'!$G$12:$G$31,MATCH(TRIM(E161),'設定'!$J$12:$J$31,0)),""),""))</f>
        <v/>
      </c>
      <c r="K161" s="30">
        <f>IF(AND(ISNUMBER(F161),ISNUMBER(J161)),ROUND(F161*J161,0),IF(ISNUMBER(I161),I161,""))</f>
        <v/>
      </c>
      <c r="L161" s="33" t="n"/>
      <c r="M161" s="34">
        <f>IF(COUNTA(A161:B161,D161:I161,L161)=0,"",IF(B161="","案件番号がありません",IF(ISNA(MATCH(B161,'案件'!$A$6:$A$105,0)),"案件シートに無い番号です",IF(NOT(OR(D161="材料費",D161="労務費",D161="外注費",D161="経費")),"費目を4つから選んでください",IF(K161="",IF(AND(ISNUMBER(F161),NOT(ISNUMBER(J161))),IF(D161="労務費","単価がありません（設定の作業者名と同じ書き方に）","単価がありません"),IF(AND(ISNUMBER(J161),NOT(ISNUMBER(F161))),"数量がありません","金額がありません")),IF(NOT(ISNUMBER(A161)),"日付がありません（月別集計に入りません）",IF(AND(ISNUMBER(F161),ISNUMBER(J161),ISNUMBER(I161)),"数量×単価を使いました（金額の欄は使っていません）","")))))))</f>
        <v/>
      </c>
      <c r="N161" s="91">
        <f>IF(AND(B161&lt;&gt;"",B161='案件カード'!$C$3),COUNTIF($B$5:B161,'案件カード'!$C$3),"")</f>
        <v/>
      </c>
      <c r="O161" s="91">
        <f>IF(ISNUMBER(K161),IF(B161="",K161,IF(AND(ISNUMBER(MATCH(B161,'案件'!$A$6:$A$105,0)),OR(D161="材料費",D161="労務費",D161="外注費",D161="経費")),0,K161)),0)</f>
        <v/>
      </c>
    </row>
    <row r="162" ht="16" customHeight="1">
      <c r="A162" s="35" t="n"/>
      <c r="B162" s="36" t="n"/>
      <c r="C162" s="37">
        <f>IF(B162="","",IFERROR(INDEX('案件'!$B$6:$B$105,MATCH(B162,'案件'!$A$6:$A$105,0))&amp;"","（案件シートに無い番号）"))</f>
        <v/>
      </c>
      <c r="D162" s="36" t="n"/>
      <c r="E162" s="38" t="n"/>
      <c r="F162" s="39" t="n"/>
      <c r="G162" s="36" t="n"/>
      <c r="H162" s="40" t="n"/>
      <c r="I162" s="40" t="n"/>
      <c r="J162" s="41">
        <f>IF(ISNUMBER(H162),H162,IF(AND(D162="労務費",TRIM(E162)&lt;&gt;""),IFERROR(INDEX('設定'!$G$12:$G$31,MATCH(TRIM(E162),'設定'!$J$12:$J$31,0)),""),""))</f>
        <v/>
      </c>
      <c r="K162" s="30">
        <f>IF(AND(ISNUMBER(F162),ISNUMBER(J162)),ROUND(F162*J162,0),IF(ISNUMBER(I162),I162,""))</f>
        <v/>
      </c>
      <c r="L162" s="33" t="n"/>
      <c r="M162" s="34">
        <f>IF(COUNTA(A162:B162,D162:I162,L162)=0,"",IF(B162="","案件番号がありません",IF(ISNA(MATCH(B162,'案件'!$A$6:$A$105,0)),"案件シートに無い番号です",IF(NOT(OR(D162="材料費",D162="労務費",D162="外注費",D162="経費")),"費目を4つから選んでください",IF(K162="",IF(AND(ISNUMBER(F162),NOT(ISNUMBER(J162))),IF(D162="労務費","単価がありません（設定の作業者名と同じ書き方に）","単価がありません"),IF(AND(ISNUMBER(J162),NOT(ISNUMBER(F162))),"数量がありません","金額がありません")),IF(NOT(ISNUMBER(A162)),"日付がありません（月別集計に入りません）",IF(AND(ISNUMBER(F162),ISNUMBER(J162),ISNUMBER(I162)),"数量×単価を使いました（金額の欄は使っていません）","")))))))</f>
        <v/>
      </c>
      <c r="N162" s="91">
        <f>IF(AND(B162&lt;&gt;"",B162='案件カード'!$C$3),COUNTIF($B$5:B162,'案件カード'!$C$3),"")</f>
        <v/>
      </c>
      <c r="O162" s="91">
        <f>IF(ISNUMBER(K162),IF(B162="",K162,IF(AND(ISNUMBER(MATCH(B162,'案件'!$A$6:$A$105,0)),OR(D162="材料費",D162="労務費",D162="外注費",D162="経費")),0,K162)),0)</f>
        <v/>
      </c>
    </row>
    <row r="163" ht="16" customHeight="1">
      <c r="A163" s="35" t="n"/>
      <c r="B163" s="36" t="n"/>
      <c r="C163" s="37">
        <f>IF(B163="","",IFERROR(INDEX('案件'!$B$6:$B$105,MATCH(B163,'案件'!$A$6:$A$105,0))&amp;"","（案件シートに無い番号）"))</f>
        <v/>
      </c>
      <c r="D163" s="36" t="n"/>
      <c r="E163" s="38" t="n"/>
      <c r="F163" s="39" t="n"/>
      <c r="G163" s="36" t="n"/>
      <c r="H163" s="40" t="n"/>
      <c r="I163" s="40" t="n"/>
      <c r="J163" s="41">
        <f>IF(ISNUMBER(H163),H163,IF(AND(D163="労務費",TRIM(E163)&lt;&gt;""),IFERROR(INDEX('設定'!$G$12:$G$31,MATCH(TRIM(E163),'設定'!$J$12:$J$31,0)),""),""))</f>
        <v/>
      </c>
      <c r="K163" s="30">
        <f>IF(AND(ISNUMBER(F163),ISNUMBER(J163)),ROUND(F163*J163,0),IF(ISNUMBER(I163),I163,""))</f>
        <v/>
      </c>
      <c r="L163" s="33" t="n"/>
      <c r="M163" s="34">
        <f>IF(COUNTA(A163:B163,D163:I163,L163)=0,"",IF(B163="","案件番号がありません",IF(ISNA(MATCH(B163,'案件'!$A$6:$A$105,0)),"案件シートに無い番号です",IF(NOT(OR(D163="材料費",D163="労務費",D163="外注費",D163="経費")),"費目を4つから選んでください",IF(K163="",IF(AND(ISNUMBER(F163),NOT(ISNUMBER(J163))),IF(D163="労務費","単価がありません（設定の作業者名と同じ書き方に）","単価がありません"),IF(AND(ISNUMBER(J163),NOT(ISNUMBER(F163))),"数量がありません","金額がありません")),IF(NOT(ISNUMBER(A163)),"日付がありません（月別集計に入りません）",IF(AND(ISNUMBER(F163),ISNUMBER(J163),ISNUMBER(I163)),"数量×単価を使いました（金額の欄は使っていません）","")))))))</f>
        <v/>
      </c>
      <c r="N163" s="91">
        <f>IF(AND(B163&lt;&gt;"",B163='案件カード'!$C$3),COUNTIF($B$5:B163,'案件カード'!$C$3),"")</f>
        <v/>
      </c>
      <c r="O163" s="91">
        <f>IF(ISNUMBER(K163),IF(B163="",K163,IF(AND(ISNUMBER(MATCH(B163,'案件'!$A$6:$A$105,0)),OR(D163="材料費",D163="労務費",D163="外注費",D163="経費")),0,K163)),0)</f>
        <v/>
      </c>
    </row>
    <row r="164" ht="16" customHeight="1">
      <c r="A164" s="35" t="n"/>
      <c r="B164" s="36" t="n"/>
      <c r="C164" s="37">
        <f>IF(B164="","",IFERROR(INDEX('案件'!$B$6:$B$105,MATCH(B164,'案件'!$A$6:$A$105,0))&amp;"","（案件シートに無い番号）"))</f>
        <v/>
      </c>
      <c r="D164" s="36" t="n"/>
      <c r="E164" s="38" t="n"/>
      <c r="F164" s="39" t="n"/>
      <c r="G164" s="36" t="n"/>
      <c r="H164" s="40" t="n"/>
      <c r="I164" s="40" t="n"/>
      <c r="J164" s="41">
        <f>IF(ISNUMBER(H164),H164,IF(AND(D164="労務費",TRIM(E164)&lt;&gt;""),IFERROR(INDEX('設定'!$G$12:$G$31,MATCH(TRIM(E164),'設定'!$J$12:$J$31,0)),""),""))</f>
        <v/>
      </c>
      <c r="K164" s="30">
        <f>IF(AND(ISNUMBER(F164),ISNUMBER(J164)),ROUND(F164*J164,0),IF(ISNUMBER(I164),I164,""))</f>
        <v/>
      </c>
      <c r="L164" s="33" t="n"/>
      <c r="M164" s="34">
        <f>IF(COUNTA(A164:B164,D164:I164,L164)=0,"",IF(B164="","案件番号がありません",IF(ISNA(MATCH(B164,'案件'!$A$6:$A$105,0)),"案件シートに無い番号です",IF(NOT(OR(D164="材料費",D164="労務費",D164="外注費",D164="経費")),"費目を4つから選んでください",IF(K164="",IF(AND(ISNUMBER(F164),NOT(ISNUMBER(J164))),IF(D164="労務費","単価がありません（設定の作業者名と同じ書き方に）","単価がありません"),IF(AND(ISNUMBER(J164),NOT(ISNUMBER(F164))),"数量がありません","金額がありません")),IF(NOT(ISNUMBER(A164)),"日付がありません（月別集計に入りません）",IF(AND(ISNUMBER(F164),ISNUMBER(J164),ISNUMBER(I164)),"数量×単価を使いました（金額の欄は使っていません）","")))))))</f>
        <v/>
      </c>
      <c r="N164" s="91">
        <f>IF(AND(B164&lt;&gt;"",B164='案件カード'!$C$3),COUNTIF($B$5:B164,'案件カード'!$C$3),"")</f>
        <v/>
      </c>
      <c r="O164" s="91">
        <f>IF(ISNUMBER(K164),IF(B164="",K164,IF(AND(ISNUMBER(MATCH(B164,'案件'!$A$6:$A$105,0)),OR(D164="材料費",D164="労務費",D164="外注費",D164="経費")),0,K164)),0)</f>
        <v/>
      </c>
    </row>
    <row r="165" ht="16" customHeight="1">
      <c r="A165" s="35" t="n"/>
      <c r="B165" s="36" t="n"/>
      <c r="C165" s="37">
        <f>IF(B165="","",IFERROR(INDEX('案件'!$B$6:$B$105,MATCH(B165,'案件'!$A$6:$A$105,0))&amp;"","（案件シートに無い番号）"))</f>
        <v/>
      </c>
      <c r="D165" s="36" t="n"/>
      <c r="E165" s="38" t="n"/>
      <c r="F165" s="39" t="n"/>
      <c r="G165" s="36" t="n"/>
      <c r="H165" s="40" t="n"/>
      <c r="I165" s="40" t="n"/>
      <c r="J165" s="41">
        <f>IF(ISNUMBER(H165),H165,IF(AND(D165="労務費",TRIM(E165)&lt;&gt;""),IFERROR(INDEX('設定'!$G$12:$G$31,MATCH(TRIM(E165),'設定'!$J$12:$J$31,0)),""),""))</f>
        <v/>
      </c>
      <c r="K165" s="30">
        <f>IF(AND(ISNUMBER(F165),ISNUMBER(J165)),ROUND(F165*J165,0),IF(ISNUMBER(I165),I165,""))</f>
        <v/>
      </c>
      <c r="L165" s="33" t="n"/>
      <c r="M165" s="34">
        <f>IF(COUNTA(A165:B165,D165:I165,L165)=0,"",IF(B165="","案件番号がありません",IF(ISNA(MATCH(B165,'案件'!$A$6:$A$105,0)),"案件シートに無い番号です",IF(NOT(OR(D165="材料費",D165="労務費",D165="外注費",D165="経費")),"費目を4つから選んでください",IF(K165="",IF(AND(ISNUMBER(F165),NOT(ISNUMBER(J165))),IF(D165="労務費","単価がありません（設定の作業者名と同じ書き方に）","単価がありません"),IF(AND(ISNUMBER(J165),NOT(ISNUMBER(F165))),"数量がありません","金額がありません")),IF(NOT(ISNUMBER(A165)),"日付がありません（月別集計に入りません）",IF(AND(ISNUMBER(F165),ISNUMBER(J165),ISNUMBER(I165)),"数量×単価を使いました（金額の欄は使っていません）","")))))))</f>
        <v/>
      </c>
      <c r="N165" s="91">
        <f>IF(AND(B165&lt;&gt;"",B165='案件カード'!$C$3),COUNTIF($B$5:B165,'案件カード'!$C$3),"")</f>
        <v/>
      </c>
      <c r="O165" s="91">
        <f>IF(ISNUMBER(K165),IF(B165="",K165,IF(AND(ISNUMBER(MATCH(B165,'案件'!$A$6:$A$105,0)),OR(D165="材料費",D165="労務費",D165="外注費",D165="経費")),0,K165)),0)</f>
        <v/>
      </c>
    </row>
    <row r="166" ht="16" customHeight="1">
      <c r="A166" s="35" t="n"/>
      <c r="B166" s="36" t="n"/>
      <c r="C166" s="37">
        <f>IF(B166="","",IFERROR(INDEX('案件'!$B$6:$B$105,MATCH(B166,'案件'!$A$6:$A$105,0))&amp;"","（案件シートに無い番号）"))</f>
        <v/>
      </c>
      <c r="D166" s="36" t="n"/>
      <c r="E166" s="38" t="n"/>
      <c r="F166" s="39" t="n"/>
      <c r="G166" s="36" t="n"/>
      <c r="H166" s="40" t="n"/>
      <c r="I166" s="40" t="n"/>
      <c r="J166" s="41">
        <f>IF(ISNUMBER(H166),H166,IF(AND(D166="労務費",TRIM(E166)&lt;&gt;""),IFERROR(INDEX('設定'!$G$12:$G$31,MATCH(TRIM(E166),'設定'!$J$12:$J$31,0)),""),""))</f>
        <v/>
      </c>
      <c r="K166" s="30">
        <f>IF(AND(ISNUMBER(F166),ISNUMBER(J166)),ROUND(F166*J166,0),IF(ISNUMBER(I166),I166,""))</f>
        <v/>
      </c>
      <c r="L166" s="33" t="n"/>
      <c r="M166" s="34">
        <f>IF(COUNTA(A166:B166,D166:I166,L166)=0,"",IF(B166="","案件番号がありません",IF(ISNA(MATCH(B166,'案件'!$A$6:$A$105,0)),"案件シートに無い番号です",IF(NOT(OR(D166="材料費",D166="労務費",D166="外注費",D166="経費")),"費目を4つから選んでください",IF(K166="",IF(AND(ISNUMBER(F166),NOT(ISNUMBER(J166))),IF(D166="労務費","単価がありません（設定の作業者名と同じ書き方に）","単価がありません"),IF(AND(ISNUMBER(J166),NOT(ISNUMBER(F166))),"数量がありません","金額がありません")),IF(NOT(ISNUMBER(A166)),"日付がありません（月別集計に入りません）",IF(AND(ISNUMBER(F166),ISNUMBER(J166),ISNUMBER(I166)),"数量×単価を使いました（金額の欄は使っていません）","")))))))</f>
        <v/>
      </c>
      <c r="N166" s="91">
        <f>IF(AND(B166&lt;&gt;"",B166='案件カード'!$C$3),COUNTIF($B$5:B166,'案件カード'!$C$3),"")</f>
        <v/>
      </c>
      <c r="O166" s="91">
        <f>IF(ISNUMBER(K166),IF(B166="",K166,IF(AND(ISNUMBER(MATCH(B166,'案件'!$A$6:$A$105,0)),OR(D166="材料費",D166="労務費",D166="外注費",D166="経費")),0,K166)),0)</f>
        <v/>
      </c>
    </row>
    <row r="167" ht="16" customHeight="1">
      <c r="A167" s="35" t="n"/>
      <c r="B167" s="36" t="n"/>
      <c r="C167" s="37">
        <f>IF(B167="","",IFERROR(INDEX('案件'!$B$6:$B$105,MATCH(B167,'案件'!$A$6:$A$105,0))&amp;"","（案件シートに無い番号）"))</f>
        <v/>
      </c>
      <c r="D167" s="36" t="n"/>
      <c r="E167" s="38" t="n"/>
      <c r="F167" s="39" t="n"/>
      <c r="G167" s="36" t="n"/>
      <c r="H167" s="40" t="n"/>
      <c r="I167" s="40" t="n"/>
      <c r="J167" s="41">
        <f>IF(ISNUMBER(H167),H167,IF(AND(D167="労務費",TRIM(E167)&lt;&gt;""),IFERROR(INDEX('設定'!$G$12:$G$31,MATCH(TRIM(E167),'設定'!$J$12:$J$31,0)),""),""))</f>
        <v/>
      </c>
      <c r="K167" s="30">
        <f>IF(AND(ISNUMBER(F167),ISNUMBER(J167)),ROUND(F167*J167,0),IF(ISNUMBER(I167),I167,""))</f>
        <v/>
      </c>
      <c r="L167" s="33" t="n"/>
      <c r="M167" s="34">
        <f>IF(COUNTA(A167:B167,D167:I167,L167)=0,"",IF(B167="","案件番号がありません",IF(ISNA(MATCH(B167,'案件'!$A$6:$A$105,0)),"案件シートに無い番号です",IF(NOT(OR(D167="材料費",D167="労務費",D167="外注費",D167="経費")),"費目を4つから選んでください",IF(K167="",IF(AND(ISNUMBER(F167),NOT(ISNUMBER(J167))),IF(D167="労務費","単価がありません（設定の作業者名と同じ書き方に）","単価がありません"),IF(AND(ISNUMBER(J167),NOT(ISNUMBER(F167))),"数量がありません","金額がありません")),IF(NOT(ISNUMBER(A167)),"日付がありません（月別集計に入りません）",IF(AND(ISNUMBER(F167),ISNUMBER(J167),ISNUMBER(I167)),"数量×単価を使いました（金額の欄は使っていません）","")))))))</f>
        <v/>
      </c>
      <c r="N167" s="91">
        <f>IF(AND(B167&lt;&gt;"",B167='案件カード'!$C$3),COUNTIF($B$5:B167,'案件カード'!$C$3),"")</f>
        <v/>
      </c>
      <c r="O167" s="91">
        <f>IF(ISNUMBER(K167),IF(B167="",K167,IF(AND(ISNUMBER(MATCH(B167,'案件'!$A$6:$A$105,0)),OR(D167="材料費",D167="労務費",D167="外注費",D167="経費")),0,K167)),0)</f>
        <v/>
      </c>
    </row>
    <row r="168" ht="16" customHeight="1">
      <c r="A168" s="35" t="n"/>
      <c r="B168" s="36" t="n"/>
      <c r="C168" s="37">
        <f>IF(B168="","",IFERROR(INDEX('案件'!$B$6:$B$105,MATCH(B168,'案件'!$A$6:$A$105,0))&amp;"","（案件シートに無い番号）"))</f>
        <v/>
      </c>
      <c r="D168" s="36" t="n"/>
      <c r="E168" s="38" t="n"/>
      <c r="F168" s="39" t="n"/>
      <c r="G168" s="36" t="n"/>
      <c r="H168" s="40" t="n"/>
      <c r="I168" s="40" t="n"/>
      <c r="J168" s="41">
        <f>IF(ISNUMBER(H168),H168,IF(AND(D168="労務費",TRIM(E168)&lt;&gt;""),IFERROR(INDEX('設定'!$G$12:$G$31,MATCH(TRIM(E168),'設定'!$J$12:$J$31,0)),""),""))</f>
        <v/>
      </c>
      <c r="K168" s="30">
        <f>IF(AND(ISNUMBER(F168),ISNUMBER(J168)),ROUND(F168*J168,0),IF(ISNUMBER(I168),I168,""))</f>
        <v/>
      </c>
      <c r="L168" s="33" t="n"/>
      <c r="M168" s="34">
        <f>IF(COUNTA(A168:B168,D168:I168,L168)=0,"",IF(B168="","案件番号がありません",IF(ISNA(MATCH(B168,'案件'!$A$6:$A$105,0)),"案件シートに無い番号です",IF(NOT(OR(D168="材料費",D168="労務費",D168="外注費",D168="経費")),"費目を4つから選んでください",IF(K168="",IF(AND(ISNUMBER(F168),NOT(ISNUMBER(J168))),IF(D168="労務費","単価がありません（設定の作業者名と同じ書き方に）","単価がありません"),IF(AND(ISNUMBER(J168),NOT(ISNUMBER(F168))),"数量がありません","金額がありません")),IF(NOT(ISNUMBER(A168)),"日付がありません（月別集計に入りません）",IF(AND(ISNUMBER(F168),ISNUMBER(J168),ISNUMBER(I168)),"数量×単価を使いました（金額の欄は使っていません）","")))))))</f>
        <v/>
      </c>
      <c r="N168" s="91">
        <f>IF(AND(B168&lt;&gt;"",B168='案件カード'!$C$3),COUNTIF($B$5:B168,'案件カード'!$C$3),"")</f>
        <v/>
      </c>
      <c r="O168" s="91">
        <f>IF(ISNUMBER(K168),IF(B168="",K168,IF(AND(ISNUMBER(MATCH(B168,'案件'!$A$6:$A$105,0)),OR(D168="材料費",D168="労務費",D168="外注費",D168="経費")),0,K168)),0)</f>
        <v/>
      </c>
    </row>
    <row r="169" ht="16" customHeight="1">
      <c r="A169" s="35" t="n"/>
      <c r="B169" s="36" t="n"/>
      <c r="C169" s="37">
        <f>IF(B169="","",IFERROR(INDEX('案件'!$B$6:$B$105,MATCH(B169,'案件'!$A$6:$A$105,0))&amp;"","（案件シートに無い番号）"))</f>
        <v/>
      </c>
      <c r="D169" s="36" t="n"/>
      <c r="E169" s="38" t="n"/>
      <c r="F169" s="39" t="n"/>
      <c r="G169" s="36" t="n"/>
      <c r="H169" s="40" t="n"/>
      <c r="I169" s="40" t="n"/>
      <c r="J169" s="41">
        <f>IF(ISNUMBER(H169),H169,IF(AND(D169="労務費",TRIM(E169)&lt;&gt;""),IFERROR(INDEX('設定'!$G$12:$G$31,MATCH(TRIM(E169),'設定'!$J$12:$J$31,0)),""),""))</f>
        <v/>
      </c>
      <c r="K169" s="30">
        <f>IF(AND(ISNUMBER(F169),ISNUMBER(J169)),ROUND(F169*J169,0),IF(ISNUMBER(I169),I169,""))</f>
        <v/>
      </c>
      <c r="L169" s="33" t="n"/>
      <c r="M169" s="34">
        <f>IF(COUNTA(A169:B169,D169:I169,L169)=0,"",IF(B169="","案件番号がありません",IF(ISNA(MATCH(B169,'案件'!$A$6:$A$105,0)),"案件シートに無い番号です",IF(NOT(OR(D169="材料費",D169="労務費",D169="外注費",D169="経費")),"費目を4つから選んでください",IF(K169="",IF(AND(ISNUMBER(F169),NOT(ISNUMBER(J169))),IF(D169="労務費","単価がありません（設定の作業者名と同じ書き方に）","単価がありません"),IF(AND(ISNUMBER(J169),NOT(ISNUMBER(F169))),"数量がありません","金額がありません")),IF(NOT(ISNUMBER(A169)),"日付がありません（月別集計に入りません）",IF(AND(ISNUMBER(F169),ISNUMBER(J169),ISNUMBER(I169)),"数量×単価を使いました（金額の欄は使っていません）","")))))))</f>
        <v/>
      </c>
      <c r="N169" s="91">
        <f>IF(AND(B169&lt;&gt;"",B169='案件カード'!$C$3),COUNTIF($B$5:B169,'案件カード'!$C$3),"")</f>
        <v/>
      </c>
      <c r="O169" s="91">
        <f>IF(ISNUMBER(K169),IF(B169="",K169,IF(AND(ISNUMBER(MATCH(B169,'案件'!$A$6:$A$105,0)),OR(D169="材料費",D169="労務費",D169="外注費",D169="経費")),0,K169)),0)</f>
        <v/>
      </c>
    </row>
    <row r="170" ht="16" customHeight="1">
      <c r="A170" s="35" t="n"/>
      <c r="B170" s="36" t="n"/>
      <c r="C170" s="37">
        <f>IF(B170="","",IFERROR(INDEX('案件'!$B$6:$B$105,MATCH(B170,'案件'!$A$6:$A$105,0))&amp;"","（案件シートに無い番号）"))</f>
        <v/>
      </c>
      <c r="D170" s="36" t="n"/>
      <c r="E170" s="38" t="n"/>
      <c r="F170" s="39" t="n"/>
      <c r="G170" s="36" t="n"/>
      <c r="H170" s="40" t="n"/>
      <c r="I170" s="40" t="n"/>
      <c r="J170" s="41">
        <f>IF(ISNUMBER(H170),H170,IF(AND(D170="労務費",TRIM(E170)&lt;&gt;""),IFERROR(INDEX('設定'!$G$12:$G$31,MATCH(TRIM(E170),'設定'!$J$12:$J$31,0)),""),""))</f>
        <v/>
      </c>
      <c r="K170" s="30">
        <f>IF(AND(ISNUMBER(F170),ISNUMBER(J170)),ROUND(F170*J170,0),IF(ISNUMBER(I170),I170,""))</f>
        <v/>
      </c>
      <c r="L170" s="33" t="n"/>
      <c r="M170" s="34">
        <f>IF(COUNTA(A170:B170,D170:I170,L170)=0,"",IF(B170="","案件番号がありません",IF(ISNA(MATCH(B170,'案件'!$A$6:$A$105,0)),"案件シートに無い番号です",IF(NOT(OR(D170="材料費",D170="労務費",D170="外注費",D170="経費")),"費目を4つから選んでください",IF(K170="",IF(AND(ISNUMBER(F170),NOT(ISNUMBER(J170))),IF(D170="労務費","単価がありません（設定の作業者名と同じ書き方に）","単価がありません"),IF(AND(ISNUMBER(J170),NOT(ISNUMBER(F170))),"数量がありません","金額がありません")),IF(NOT(ISNUMBER(A170)),"日付がありません（月別集計に入りません）",IF(AND(ISNUMBER(F170),ISNUMBER(J170),ISNUMBER(I170)),"数量×単価を使いました（金額の欄は使っていません）","")))))))</f>
        <v/>
      </c>
      <c r="N170" s="91">
        <f>IF(AND(B170&lt;&gt;"",B170='案件カード'!$C$3),COUNTIF($B$5:B170,'案件カード'!$C$3),"")</f>
        <v/>
      </c>
      <c r="O170" s="91">
        <f>IF(ISNUMBER(K170),IF(B170="",K170,IF(AND(ISNUMBER(MATCH(B170,'案件'!$A$6:$A$105,0)),OR(D170="材料費",D170="労務費",D170="外注費",D170="経費")),0,K170)),0)</f>
        <v/>
      </c>
    </row>
    <row r="171" ht="16" customHeight="1">
      <c r="A171" s="35" t="n"/>
      <c r="B171" s="36" t="n"/>
      <c r="C171" s="37">
        <f>IF(B171="","",IFERROR(INDEX('案件'!$B$6:$B$105,MATCH(B171,'案件'!$A$6:$A$105,0))&amp;"","（案件シートに無い番号）"))</f>
        <v/>
      </c>
      <c r="D171" s="36" t="n"/>
      <c r="E171" s="38" t="n"/>
      <c r="F171" s="39" t="n"/>
      <c r="G171" s="36" t="n"/>
      <c r="H171" s="40" t="n"/>
      <c r="I171" s="40" t="n"/>
      <c r="J171" s="41">
        <f>IF(ISNUMBER(H171),H171,IF(AND(D171="労務費",TRIM(E171)&lt;&gt;""),IFERROR(INDEX('設定'!$G$12:$G$31,MATCH(TRIM(E171),'設定'!$J$12:$J$31,0)),""),""))</f>
        <v/>
      </c>
      <c r="K171" s="30">
        <f>IF(AND(ISNUMBER(F171),ISNUMBER(J171)),ROUND(F171*J171,0),IF(ISNUMBER(I171),I171,""))</f>
        <v/>
      </c>
      <c r="L171" s="33" t="n"/>
      <c r="M171" s="34">
        <f>IF(COUNTA(A171:B171,D171:I171,L171)=0,"",IF(B171="","案件番号がありません",IF(ISNA(MATCH(B171,'案件'!$A$6:$A$105,0)),"案件シートに無い番号です",IF(NOT(OR(D171="材料費",D171="労務費",D171="外注費",D171="経費")),"費目を4つから選んでください",IF(K171="",IF(AND(ISNUMBER(F171),NOT(ISNUMBER(J171))),IF(D171="労務費","単価がありません（設定の作業者名と同じ書き方に）","単価がありません"),IF(AND(ISNUMBER(J171),NOT(ISNUMBER(F171))),"数量がありません","金額がありません")),IF(NOT(ISNUMBER(A171)),"日付がありません（月別集計に入りません）",IF(AND(ISNUMBER(F171),ISNUMBER(J171),ISNUMBER(I171)),"数量×単価を使いました（金額の欄は使っていません）","")))))))</f>
        <v/>
      </c>
      <c r="N171" s="91">
        <f>IF(AND(B171&lt;&gt;"",B171='案件カード'!$C$3),COUNTIF($B$5:B171,'案件カード'!$C$3),"")</f>
        <v/>
      </c>
      <c r="O171" s="91">
        <f>IF(ISNUMBER(K171),IF(B171="",K171,IF(AND(ISNUMBER(MATCH(B171,'案件'!$A$6:$A$105,0)),OR(D171="材料費",D171="労務費",D171="外注費",D171="経費")),0,K171)),0)</f>
        <v/>
      </c>
    </row>
    <row r="172" ht="16" customHeight="1">
      <c r="A172" s="35" t="n"/>
      <c r="B172" s="36" t="n"/>
      <c r="C172" s="37">
        <f>IF(B172="","",IFERROR(INDEX('案件'!$B$6:$B$105,MATCH(B172,'案件'!$A$6:$A$105,0))&amp;"","（案件シートに無い番号）"))</f>
        <v/>
      </c>
      <c r="D172" s="36" t="n"/>
      <c r="E172" s="38" t="n"/>
      <c r="F172" s="39" t="n"/>
      <c r="G172" s="36" t="n"/>
      <c r="H172" s="40" t="n"/>
      <c r="I172" s="40" t="n"/>
      <c r="J172" s="41">
        <f>IF(ISNUMBER(H172),H172,IF(AND(D172="労務費",TRIM(E172)&lt;&gt;""),IFERROR(INDEX('設定'!$G$12:$G$31,MATCH(TRIM(E172),'設定'!$J$12:$J$31,0)),""),""))</f>
        <v/>
      </c>
      <c r="K172" s="30">
        <f>IF(AND(ISNUMBER(F172),ISNUMBER(J172)),ROUND(F172*J172,0),IF(ISNUMBER(I172),I172,""))</f>
        <v/>
      </c>
      <c r="L172" s="33" t="n"/>
      <c r="M172" s="34">
        <f>IF(COUNTA(A172:B172,D172:I172,L172)=0,"",IF(B172="","案件番号がありません",IF(ISNA(MATCH(B172,'案件'!$A$6:$A$105,0)),"案件シートに無い番号です",IF(NOT(OR(D172="材料費",D172="労務費",D172="外注費",D172="経費")),"費目を4つから選んでください",IF(K172="",IF(AND(ISNUMBER(F172),NOT(ISNUMBER(J172))),IF(D172="労務費","単価がありません（設定の作業者名と同じ書き方に）","単価がありません"),IF(AND(ISNUMBER(J172),NOT(ISNUMBER(F172))),"数量がありません","金額がありません")),IF(NOT(ISNUMBER(A172)),"日付がありません（月別集計に入りません）",IF(AND(ISNUMBER(F172),ISNUMBER(J172),ISNUMBER(I172)),"数量×単価を使いました（金額の欄は使っていません）","")))))))</f>
        <v/>
      </c>
      <c r="N172" s="91">
        <f>IF(AND(B172&lt;&gt;"",B172='案件カード'!$C$3),COUNTIF($B$5:B172,'案件カード'!$C$3),"")</f>
        <v/>
      </c>
      <c r="O172" s="91">
        <f>IF(ISNUMBER(K172),IF(B172="",K172,IF(AND(ISNUMBER(MATCH(B172,'案件'!$A$6:$A$105,0)),OR(D172="材料費",D172="労務費",D172="外注費",D172="経費")),0,K172)),0)</f>
        <v/>
      </c>
    </row>
    <row r="173" ht="16" customHeight="1">
      <c r="A173" s="35" t="n"/>
      <c r="B173" s="36" t="n"/>
      <c r="C173" s="37">
        <f>IF(B173="","",IFERROR(INDEX('案件'!$B$6:$B$105,MATCH(B173,'案件'!$A$6:$A$105,0))&amp;"","（案件シートに無い番号）"))</f>
        <v/>
      </c>
      <c r="D173" s="36" t="n"/>
      <c r="E173" s="38" t="n"/>
      <c r="F173" s="39" t="n"/>
      <c r="G173" s="36" t="n"/>
      <c r="H173" s="40" t="n"/>
      <c r="I173" s="40" t="n"/>
      <c r="J173" s="41">
        <f>IF(ISNUMBER(H173),H173,IF(AND(D173="労務費",TRIM(E173)&lt;&gt;""),IFERROR(INDEX('設定'!$G$12:$G$31,MATCH(TRIM(E173),'設定'!$J$12:$J$31,0)),""),""))</f>
        <v/>
      </c>
      <c r="K173" s="30">
        <f>IF(AND(ISNUMBER(F173),ISNUMBER(J173)),ROUND(F173*J173,0),IF(ISNUMBER(I173),I173,""))</f>
        <v/>
      </c>
      <c r="L173" s="33" t="n"/>
      <c r="M173" s="34">
        <f>IF(COUNTA(A173:B173,D173:I173,L173)=0,"",IF(B173="","案件番号がありません",IF(ISNA(MATCH(B173,'案件'!$A$6:$A$105,0)),"案件シートに無い番号です",IF(NOT(OR(D173="材料費",D173="労務費",D173="外注費",D173="経費")),"費目を4つから選んでください",IF(K173="",IF(AND(ISNUMBER(F173),NOT(ISNUMBER(J173))),IF(D173="労務費","単価がありません（設定の作業者名と同じ書き方に）","単価がありません"),IF(AND(ISNUMBER(J173),NOT(ISNUMBER(F173))),"数量がありません","金額がありません")),IF(NOT(ISNUMBER(A173)),"日付がありません（月別集計に入りません）",IF(AND(ISNUMBER(F173),ISNUMBER(J173),ISNUMBER(I173)),"数量×単価を使いました（金額の欄は使っていません）","")))))))</f>
        <v/>
      </c>
      <c r="N173" s="91">
        <f>IF(AND(B173&lt;&gt;"",B173='案件カード'!$C$3),COUNTIF($B$5:B173,'案件カード'!$C$3),"")</f>
        <v/>
      </c>
      <c r="O173" s="91">
        <f>IF(ISNUMBER(K173),IF(B173="",K173,IF(AND(ISNUMBER(MATCH(B173,'案件'!$A$6:$A$105,0)),OR(D173="材料費",D173="労務費",D173="外注費",D173="経費")),0,K173)),0)</f>
        <v/>
      </c>
    </row>
    <row r="174" ht="16" customHeight="1">
      <c r="A174" s="35" t="n"/>
      <c r="B174" s="36" t="n"/>
      <c r="C174" s="37">
        <f>IF(B174="","",IFERROR(INDEX('案件'!$B$6:$B$105,MATCH(B174,'案件'!$A$6:$A$105,0))&amp;"","（案件シートに無い番号）"))</f>
        <v/>
      </c>
      <c r="D174" s="36" t="n"/>
      <c r="E174" s="38" t="n"/>
      <c r="F174" s="39" t="n"/>
      <c r="G174" s="36" t="n"/>
      <c r="H174" s="40" t="n"/>
      <c r="I174" s="40" t="n"/>
      <c r="J174" s="41">
        <f>IF(ISNUMBER(H174),H174,IF(AND(D174="労務費",TRIM(E174)&lt;&gt;""),IFERROR(INDEX('設定'!$G$12:$G$31,MATCH(TRIM(E174),'設定'!$J$12:$J$31,0)),""),""))</f>
        <v/>
      </c>
      <c r="K174" s="30">
        <f>IF(AND(ISNUMBER(F174),ISNUMBER(J174)),ROUND(F174*J174,0),IF(ISNUMBER(I174),I174,""))</f>
        <v/>
      </c>
      <c r="L174" s="33" t="n"/>
      <c r="M174" s="34">
        <f>IF(COUNTA(A174:B174,D174:I174,L174)=0,"",IF(B174="","案件番号がありません",IF(ISNA(MATCH(B174,'案件'!$A$6:$A$105,0)),"案件シートに無い番号です",IF(NOT(OR(D174="材料費",D174="労務費",D174="外注費",D174="経費")),"費目を4つから選んでください",IF(K174="",IF(AND(ISNUMBER(F174),NOT(ISNUMBER(J174))),IF(D174="労務費","単価がありません（設定の作業者名と同じ書き方に）","単価がありません"),IF(AND(ISNUMBER(J174),NOT(ISNUMBER(F174))),"数量がありません","金額がありません")),IF(NOT(ISNUMBER(A174)),"日付がありません（月別集計に入りません）",IF(AND(ISNUMBER(F174),ISNUMBER(J174),ISNUMBER(I174)),"数量×単価を使いました（金額の欄は使っていません）","")))))))</f>
        <v/>
      </c>
      <c r="N174" s="91">
        <f>IF(AND(B174&lt;&gt;"",B174='案件カード'!$C$3),COUNTIF($B$5:B174,'案件カード'!$C$3),"")</f>
        <v/>
      </c>
      <c r="O174" s="91">
        <f>IF(ISNUMBER(K174),IF(B174="",K174,IF(AND(ISNUMBER(MATCH(B174,'案件'!$A$6:$A$105,0)),OR(D174="材料費",D174="労務費",D174="外注費",D174="経費")),0,K174)),0)</f>
        <v/>
      </c>
    </row>
    <row r="175" ht="16" customHeight="1">
      <c r="A175" s="35" t="n"/>
      <c r="B175" s="36" t="n"/>
      <c r="C175" s="37">
        <f>IF(B175="","",IFERROR(INDEX('案件'!$B$6:$B$105,MATCH(B175,'案件'!$A$6:$A$105,0))&amp;"","（案件シートに無い番号）"))</f>
        <v/>
      </c>
      <c r="D175" s="36" t="n"/>
      <c r="E175" s="38" t="n"/>
      <c r="F175" s="39" t="n"/>
      <c r="G175" s="36" t="n"/>
      <c r="H175" s="40" t="n"/>
      <c r="I175" s="40" t="n"/>
      <c r="J175" s="41">
        <f>IF(ISNUMBER(H175),H175,IF(AND(D175="労務費",TRIM(E175)&lt;&gt;""),IFERROR(INDEX('設定'!$G$12:$G$31,MATCH(TRIM(E175),'設定'!$J$12:$J$31,0)),""),""))</f>
        <v/>
      </c>
      <c r="K175" s="30">
        <f>IF(AND(ISNUMBER(F175),ISNUMBER(J175)),ROUND(F175*J175,0),IF(ISNUMBER(I175),I175,""))</f>
        <v/>
      </c>
      <c r="L175" s="33" t="n"/>
      <c r="M175" s="34">
        <f>IF(COUNTA(A175:B175,D175:I175,L175)=0,"",IF(B175="","案件番号がありません",IF(ISNA(MATCH(B175,'案件'!$A$6:$A$105,0)),"案件シートに無い番号です",IF(NOT(OR(D175="材料費",D175="労務費",D175="外注費",D175="経費")),"費目を4つから選んでください",IF(K175="",IF(AND(ISNUMBER(F175),NOT(ISNUMBER(J175))),IF(D175="労務費","単価がありません（設定の作業者名と同じ書き方に）","単価がありません"),IF(AND(ISNUMBER(J175),NOT(ISNUMBER(F175))),"数量がありません","金額がありません")),IF(NOT(ISNUMBER(A175)),"日付がありません（月別集計に入りません）",IF(AND(ISNUMBER(F175),ISNUMBER(J175),ISNUMBER(I175)),"数量×単価を使いました（金額の欄は使っていません）","")))))))</f>
        <v/>
      </c>
      <c r="N175" s="91">
        <f>IF(AND(B175&lt;&gt;"",B175='案件カード'!$C$3),COUNTIF($B$5:B175,'案件カード'!$C$3),"")</f>
        <v/>
      </c>
      <c r="O175" s="91">
        <f>IF(ISNUMBER(K175),IF(B175="",K175,IF(AND(ISNUMBER(MATCH(B175,'案件'!$A$6:$A$105,0)),OR(D175="材料費",D175="労務費",D175="外注費",D175="経費")),0,K175)),0)</f>
        <v/>
      </c>
    </row>
    <row r="176" ht="16" customHeight="1">
      <c r="A176" s="35" t="n"/>
      <c r="B176" s="36" t="n"/>
      <c r="C176" s="37">
        <f>IF(B176="","",IFERROR(INDEX('案件'!$B$6:$B$105,MATCH(B176,'案件'!$A$6:$A$105,0))&amp;"","（案件シートに無い番号）"))</f>
        <v/>
      </c>
      <c r="D176" s="36" t="n"/>
      <c r="E176" s="38" t="n"/>
      <c r="F176" s="39" t="n"/>
      <c r="G176" s="36" t="n"/>
      <c r="H176" s="40" t="n"/>
      <c r="I176" s="40" t="n"/>
      <c r="J176" s="41">
        <f>IF(ISNUMBER(H176),H176,IF(AND(D176="労務費",TRIM(E176)&lt;&gt;""),IFERROR(INDEX('設定'!$G$12:$G$31,MATCH(TRIM(E176),'設定'!$J$12:$J$31,0)),""),""))</f>
        <v/>
      </c>
      <c r="K176" s="30">
        <f>IF(AND(ISNUMBER(F176),ISNUMBER(J176)),ROUND(F176*J176,0),IF(ISNUMBER(I176),I176,""))</f>
        <v/>
      </c>
      <c r="L176" s="33" t="n"/>
      <c r="M176" s="34">
        <f>IF(COUNTA(A176:B176,D176:I176,L176)=0,"",IF(B176="","案件番号がありません",IF(ISNA(MATCH(B176,'案件'!$A$6:$A$105,0)),"案件シートに無い番号です",IF(NOT(OR(D176="材料費",D176="労務費",D176="外注費",D176="経費")),"費目を4つから選んでください",IF(K176="",IF(AND(ISNUMBER(F176),NOT(ISNUMBER(J176))),IF(D176="労務費","単価がありません（設定の作業者名と同じ書き方に）","単価がありません"),IF(AND(ISNUMBER(J176),NOT(ISNUMBER(F176))),"数量がありません","金額がありません")),IF(NOT(ISNUMBER(A176)),"日付がありません（月別集計に入りません）",IF(AND(ISNUMBER(F176),ISNUMBER(J176),ISNUMBER(I176)),"数量×単価を使いました（金額の欄は使っていません）","")))))))</f>
        <v/>
      </c>
      <c r="N176" s="91">
        <f>IF(AND(B176&lt;&gt;"",B176='案件カード'!$C$3),COUNTIF($B$5:B176,'案件カード'!$C$3),"")</f>
        <v/>
      </c>
      <c r="O176" s="91">
        <f>IF(ISNUMBER(K176),IF(B176="",K176,IF(AND(ISNUMBER(MATCH(B176,'案件'!$A$6:$A$105,0)),OR(D176="材料費",D176="労務費",D176="外注費",D176="経費")),0,K176)),0)</f>
        <v/>
      </c>
    </row>
    <row r="177" ht="16" customHeight="1">
      <c r="A177" s="35" t="n"/>
      <c r="B177" s="36" t="n"/>
      <c r="C177" s="37">
        <f>IF(B177="","",IFERROR(INDEX('案件'!$B$6:$B$105,MATCH(B177,'案件'!$A$6:$A$105,0))&amp;"","（案件シートに無い番号）"))</f>
        <v/>
      </c>
      <c r="D177" s="36" t="n"/>
      <c r="E177" s="38" t="n"/>
      <c r="F177" s="39" t="n"/>
      <c r="G177" s="36" t="n"/>
      <c r="H177" s="40" t="n"/>
      <c r="I177" s="40" t="n"/>
      <c r="J177" s="41">
        <f>IF(ISNUMBER(H177),H177,IF(AND(D177="労務費",TRIM(E177)&lt;&gt;""),IFERROR(INDEX('設定'!$G$12:$G$31,MATCH(TRIM(E177),'設定'!$J$12:$J$31,0)),""),""))</f>
        <v/>
      </c>
      <c r="K177" s="30">
        <f>IF(AND(ISNUMBER(F177),ISNUMBER(J177)),ROUND(F177*J177,0),IF(ISNUMBER(I177),I177,""))</f>
        <v/>
      </c>
      <c r="L177" s="33" t="n"/>
      <c r="M177" s="34">
        <f>IF(COUNTA(A177:B177,D177:I177,L177)=0,"",IF(B177="","案件番号がありません",IF(ISNA(MATCH(B177,'案件'!$A$6:$A$105,0)),"案件シートに無い番号です",IF(NOT(OR(D177="材料費",D177="労務費",D177="外注費",D177="経費")),"費目を4つから選んでください",IF(K177="",IF(AND(ISNUMBER(F177),NOT(ISNUMBER(J177))),IF(D177="労務費","単価がありません（設定の作業者名と同じ書き方に）","単価がありません"),IF(AND(ISNUMBER(J177),NOT(ISNUMBER(F177))),"数量がありません","金額がありません")),IF(NOT(ISNUMBER(A177)),"日付がありません（月別集計に入りません）",IF(AND(ISNUMBER(F177),ISNUMBER(J177),ISNUMBER(I177)),"数量×単価を使いました（金額の欄は使っていません）","")))))))</f>
        <v/>
      </c>
      <c r="N177" s="91">
        <f>IF(AND(B177&lt;&gt;"",B177='案件カード'!$C$3),COUNTIF($B$5:B177,'案件カード'!$C$3),"")</f>
        <v/>
      </c>
      <c r="O177" s="91">
        <f>IF(ISNUMBER(K177),IF(B177="",K177,IF(AND(ISNUMBER(MATCH(B177,'案件'!$A$6:$A$105,0)),OR(D177="材料費",D177="労務費",D177="外注費",D177="経費")),0,K177)),0)</f>
        <v/>
      </c>
    </row>
    <row r="178" ht="16" customHeight="1">
      <c r="A178" s="35" t="n"/>
      <c r="B178" s="36" t="n"/>
      <c r="C178" s="37">
        <f>IF(B178="","",IFERROR(INDEX('案件'!$B$6:$B$105,MATCH(B178,'案件'!$A$6:$A$105,0))&amp;"","（案件シートに無い番号）"))</f>
        <v/>
      </c>
      <c r="D178" s="36" t="n"/>
      <c r="E178" s="38" t="n"/>
      <c r="F178" s="39" t="n"/>
      <c r="G178" s="36" t="n"/>
      <c r="H178" s="40" t="n"/>
      <c r="I178" s="40" t="n"/>
      <c r="J178" s="41">
        <f>IF(ISNUMBER(H178),H178,IF(AND(D178="労務費",TRIM(E178)&lt;&gt;""),IFERROR(INDEX('設定'!$G$12:$G$31,MATCH(TRIM(E178),'設定'!$J$12:$J$31,0)),""),""))</f>
        <v/>
      </c>
      <c r="K178" s="30">
        <f>IF(AND(ISNUMBER(F178),ISNUMBER(J178)),ROUND(F178*J178,0),IF(ISNUMBER(I178),I178,""))</f>
        <v/>
      </c>
      <c r="L178" s="33" t="n"/>
      <c r="M178" s="34">
        <f>IF(COUNTA(A178:B178,D178:I178,L178)=0,"",IF(B178="","案件番号がありません",IF(ISNA(MATCH(B178,'案件'!$A$6:$A$105,0)),"案件シートに無い番号です",IF(NOT(OR(D178="材料費",D178="労務費",D178="外注費",D178="経費")),"費目を4つから選んでください",IF(K178="",IF(AND(ISNUMBER(F178),NOT(ISNUMBER(J178))),IF(D178="労務費","単価がありません（設定の作業者名と同じ書き方に）","単価がありません"),IF(AND(ISNUMBER(J178),NOT(ISNUMBER(F178))),"数量がありません","金額がありません")),IF(NOT(ISNUMBER(A178)),"日付がありません（月別集計に入りません）",IF(AND(ISNUMBER(F178),ISNUMBER(J178),ISNUMBER(I178)),"数量×単価を使いました（金額の欄は使っていません）","")))))))</f>
        <v/>
      </c>
      <c r="N178" s="91">
        <f>IF(AND(B178&lt;&gt;"",B178='案件カード'!$C$3),COUNTIF($B$5:B178,'案件カード'!$C$3),"")</f>
        <v/>
      </c>
      <c r="O178" s="91">
        <f>IF(ISNUMBER(K178),IF(B178="",K178,IF(AND(ISNUMBER(MATCH(B178,'案件'!$A$6:$A$105,0)),OR(D178="材料費",D178="労務費",D178="外注費",D178="経費")),0,K178)),0)</f>
        <v/>
      </c>
    </row>
    <row r="179" ht="16" customHeight="1">
      <c r="A179" s="35" t="n"/>
      <c r="B179" s="36" t="n"/>
      <c r="C179" s="37">
        <f>IF(B179="","",IFERROR(INDEX('案件'!$B$6:$B$105,MATCH(B179,'案件'!$A$6:$A$105,0))&amp;"","（案件シートに無い番号）"))</f>
        <v/>
      </c>
      <c r="D179" s="36" t="n"/>
      <c r="E179" s="38" t="n"/>
      <c r="F179" s="39" t="n"/>
      <c r="G179" s="36" t="n"/>
      <c r="H179" s="40" t="n"/>
      <c r="I179" s="40" t="n"/>
      <c r="J179" s="41">
        <f>IF(ISNUMBER(H179),H179,IF(AND(D179="労務費",TRIM(E179)&lt;&gt;""),IFERROR(INDEX('設定'!$G$12:$G$31,MATCH(TRIM(E179),'設定'!$J$12:$J$31,0)),""),""))</f>
        <v/>
      </c>
      <c r="K179" s="30">
        <f>IF(AND(ISNUMBER(F179),ISNUMBER(J179)),ROUND(F179*J179,0),IF(ISNUMBER(I179),I179,""))</f>
        <v/>
      </c>
      <c r="L179" s="33" t="n"/>
      <c r="M179" s="34">
        <f>IF(COUNTA(A179:B179,D179:I179,L179)=0,"",IF(B179="","案件番号がありません",IF(ISNA(MATCH(B179,'案件'!$A$6:$A$105,0)),"案件シートに無い番号です",IF(NOT(OR(D179="材料費",D179="労務費",D179="外注費",D179="経費")),"費目を4つから選んでください",IF(K179="",IF(AND(ISNUMBER(F179),NOT(ISNUMBER(J179))),IF(D179="労務費","単価がありません（設定の作業者名と同じ書き方に）","単価がありません"),IF(AND(ISNUMBER(J179),NOT(ISNUMBER(F179))),"数量がありません","金額がありません")),IF(NOT(ISNUMBER(A179)),"日付がありません（月別集計に入りません）",IF(AND(ISNUMBER(F179),ISNUMBER(J179),ISNUMBER(I179)),"数量×単価を使いました（金額の欄は使っていません）","")))))))</f>
        <v/>
      </c>
      <c r="N179" s="91">
        <f>IF(AND(B179&lt;&gt;"",B179='案件カード'!$C$3),COUNTIF($B$5:B179,'案件カード'!$C$3),"")</f>
        <v/>
      </c>
      <c r="O179" s="91">
        <f>IF(ISNUMBER(K179),IF(B179="",K179,IF(AND(ISNUMBER(MATCH(B179,'案件'!$A$6:$A$105,0)),OR(D179="材料費",D179="労務費",D179="外注費",D179="経費")),0,K179)),0)</f>
        <v/>
      </c>
    </row>
    <row r="180" ht="16" customHeight="1">
      <c r="A180" s="35" t="n"/>
      <c r="B180" s="36" t="n"/>
      <c r="C180" s="37">
        <f>IF(B180="","",IFERROR(INDEX('案件'!$B$6:$B$105,MATCH(B180,'案件'!$A$6:$A$105,0))&amp;"","（案件シートに無い番号）"))</f>
        <v/>
      </c>
      <c r="D180" s="36" t="n"/>
      <c r="E180" s="38" t="n"/>
      <c r="F180" s="39" t="n"/>
      <c r="G180" s="36" t="n"/>
      <c r="H180" s="40" t="n"/>
      <c r="I180" s="40" t="n"/>
      <c r="J180" s="41">
        <f>IF(ISNUMBER(H180),H180,IF(AND(D180="労務費",TRIM(E180)&lt;&gt;""),IFERROR(INDEX('設定'!$G$12:$G$31,MATCH(TRIM(E180),'設定'!$J$12:$J$31,0)),""),""))</f>
        <v/>
      </c>
      <c r="K180" s="30">
        <f>IF(AND(ISNUMBER(F180),ISNUMBER(J180)),ROUND(F180*J180,0),IF(ISNUMBER(I180),I180,""))</f>
        <v/>
      </c>
      <c r="L180" s="33" t="n"/>
      <c r="M180" s="34">
        <f>IF(COUNTA(A180:B180,D180:I180,L180)=0,"",IF(B180="","案件番号がありません",IF(ISNA(MATCH(B180,'案件'!$A$6:$A$105,0)),"案件シートに無い番号です",IF(NOT(OR(D180="材料費",D180="労務費",D180="外注費",D180="経費")),"費目を4つから選んでください",IF(K180="",IF(AND(ISNUMBER(F180),NOT(ISNUMBER(J180))),IF(D180="労務費","単価がありません（設定の作業者名と同じ書き方に）","単価がありません"),IF(AND(ISNUMBER(J180),NOT(ISNUMBER(F180))),"数量がありません","金額がありません")),IF(NOT(ISNUMBER(A180)),"日付がありません（月別集計に入りません）",IF(AND(ISNUMBER(F180),ISNUMBER(J180),ISNUMBER(I180)),"数量×単価を使いました（金額の欄は使っていません）","")))))))</f>
        <v/>
      </c>
      <c r="N180" s="91">
        <f>IF(AND(B180&lt;&gt;"",B180='案件カード'!$C$3),COUNTIF($B$5:B180,'案件カード'!$C$3),"")</f>
        <v/>
      </c>
      <c r="O180" s="91">
        <f>IF(ISNUMBER(K180),IF(B180="",K180,IF(AND(ISNUMBER(MATCH(B180,'案件'!$A$6:$A$105,0)),OR(D180="材料費",D180="労務費",D180="外注費",D180="経費")),0,K180)),0)</f>
        <v/>
      </c>
    </row>
    <row r="181" ht="16" customHeight="1">
      <c r="A181" s="35" t="n"/>
      <c r="B181" s="36" t="n"/>
      <c r="C181" s="37">
        <f>IF(B181="","",IFERROR(INDEX('案件'!$B$6:$B$105,MATCH(B181,'案件'!$A$6:$A$105,0))&amp;"","（案件シートに無い番号）"))</f>
        <v/>
      </c>
      <c r="D181" s="36" t="n"/>
      <c r="E181" s="38" t="n"/>
      <c r="F181" s="39" t="n"/>
      <c r="G181" s="36" t="n"/>
      <c r="H181" s="40" t="n"/>
      <c r="I181" s="40" t="n"/>
      <c r="J181" s="41">
        <f>IF(ISNUMBER(H181),H181,IF(AND(D181="労務費",TRIM(E181)&lt;&gt;""),IFERROR(INDEX('設定'!$G$12:$G$31,MATCH(TRIM(E181),'設定'!$J$12:$J$31,0)),""),""))</f>
        <v/>
      </c>
      <c r="K181" s="30">
        <f>IF(AND(ISNUMBER(F181),ISNUMBER(J181)),ROUND(F181*J181,0),IF(ISNUMBER(I181),I181,""))</f>
        <v/>
      </c>
      <c r="L181" s="33" t="n"/>
      <c r="M181" s="34">
        <f>IF(COUNTA(A181:B181,D181:I181,L181)=0,"",IF(B181="","案件番号がありません",IF(ISNA(MATCH(B181,'案件'!$A$6:$A$105,0)),"案件シートに無い番号です",IF(NOT(OR(D181="材料費",D181="労務費",D181="外注費",D181="経費")),"費目を4つから選んでください",IF(K181="",IF(AND(ISNUMBER(F181),NOT(ISNUMBER(J181))),IF(D181="労務費","単価がありません（設定の作業者名と同じ書き方に）","単価がありません"),IF(AND(ISNUMBER(J181),NOT(ISNUMBER(F181))),"数量がありません","金額がありません")),IF(NOT(ISNUMBER(A181)),"日付がありません（月別集計に入りません）",IF(AND(ISNUMBER(F181),ISNUMBER(J181),ISNUMBER(I181)),"数量×単価を使いました（金額の欄は使っていません）","")))))))</f>
        <v/>
      </c>
      <c r="N181" s="91">
        <f>IF(AND(B181&lt;&gt;"",B181='案件カード'!$C$3),COUNTIF($B$5:B181,'案件カード'!$C$3),"")</f>
        <v/>
      </c>
      <c r="O181" s="91">
        <f>IF(ISNUMBER(K181),IF(B181="",K181,IF(AND(ISNUMBER(MATCH(B181,'案件'!$A$6:$A$105,0)),OR(D181="材料費",D181="労務費",D181="外注費",D181="経費")),0,K181)),0)</f>
        <v/>
      </c>
    </row>
    <row r="182" ht="16" customHeight="1">
      <c r="A182" s="35" t="n"/>
      <c r="B182" s="36" t="n"/>
      <c r="C182" s="37">
        <f>IF(B182="","",IFERROR(INDEX('案件'!$B$6:$B$105,MATCH(B182,'案件'!$A$6:$A$105,0))&amp;"","（案件シートに無い番号）"))</f>
        <v/>
      </c>
      <c r="D182" s="36" t="n"/>
      <c r="E182" s="38" t="n"/>
      <c r="F182" s="39" t="n"/>
      <c r="G182" s="36" t="n"/>
      <c r="H182" s="40" t="n"/>
      <c r="I182" s="40" t="n"/>
      <c r="J182" s="41">
        <f>IF(ISNUMBER(H182),H182,IF(AND(D182="労務費",TRIM(E182)&lt;&gt;""),IFERROR(INDEX('設定'!$G$12:$G$31,MATCH(TRIM(E182),'設定'!$J$12:$J$31,0)),""),""))</f>
        <v/>
      </c>
      <c r="K182" s="30">
        <f>IF(AND(ISNUMBER(F182),ISNUMBER(J182)),ROUND(F182*J182,0),IF(ISNUMBER(I182),I182,""))</f>
        <v/>
      </c>
      <c r="L182" s="33" t="n"/>
      <c r="M182" s="34">
        <f>IF(COUNTA(A182:B182,D182:I182,L182)=0,"",IF(B182="","案件番号がありません",IF(ISNA(MATCH(B182,'案件'!$A$6:$A$105,0)),"案件シートに無い番号です",IF(NOT(OR(D182="材料費",D182="労務費",D182="外注費",D182="経費")),"費目を4つから選んでください",IF(K182="",IF(AND(ISNUMBER(F182),NOT(ISNUMBER(J182))),IF(D182="労務費","単価がありません（設定の作業者名と同じ書き方に）","単価がありません"),IF(AND(ISNUMBER(J182),NOT(ISNUMBER(F182))),"数量がありません","金額がありません")),IF(NOT(ISNUMBER(A182)),"日付がありません（月別集計に入りません）",IF(AND(ISNUMBER(F182),ISNUMBER(J182),ISNUMBER(I182)),"数量×単価を使いました（金額の欄は使っていません）","")))))))</f>
        <v/>
      </c>
      <c r="N182" s="91">
        <f>IF(AND(B182&lt;&gt;"",B182='案件カード'!$C$3),COUNTIF($B$5:B182,'案件カード'!$C$3),"")</f>
        <v/>
      </c>
      <c r="O182" s="91">
        <f>IF(ISNUMBER(K182),IF(B182="",K182,IF(AND(ISNUMBER(MATCH(B182,'案件'!$A$6:$A$105,0)),OR(D182="材料費",D182="労務費",D182="外注費",D182="経費")),0,K182)),0)</f>
        <v/>
      </c>
    </row>
    <row r="183" ht="16" customHeight="1">
      <c r="A183" s="35" t="n"/>
      <c r="B183" s="36" t="n"/>
      <c r="C183" s="37">
        <f>IF(B183="","",IFERROR(INDEX('案件'!$B$6:$B$105,MATCH(B183,'案件'!$A$6:$A$105,0))&amp;"","（案件シートに無い番号）"))</f>
        <v/>
      </c>
      <c r="D183" s="36" t="n"/>
      <c r="E183" s="38" t="n"/>
      <c r="F183" s="39" t="n"/>
      <c r="G183" s="36" t="n"/>
      <c r="H183" s="40" t="n"/>
      <c r="I183" s="40" t="n"/>
      <c r="J183" s="41">
        <f>IF(ISNUMBER(H183),H183,IF(AND(D183="労務費",TRIM(E183)&lt;&gt;""),IFERROR(INDEX('設定'!$G$12:$G$31,MATCH(TRIM(E183),'設定'!$J$12:$J$31,0)),""),""))</f>
        <v/>
      </c>
      <c r="K183" s="30">
        <f>IF(AND(ISNUMBER(F183),ISNUMBER(J183)),ROUND(F183*J183,0),IF(ISNUMBER(I183),I183,""))</f>
        <v/>
      </c>
      <c r="L183" s="33" t="n"/>
      <c r="M183" s="34">
        <f>IF(COUNTA(A183:B183,D183:I183,L183)=0,"",IF(B183="","案件番号がありません",IF(ISNA(MATCH(B183,'案件'!$A$6:$A$105,0)),"案件シートに無い番号です",IF(NOT(OR(D183="材料費",D183="労務費",D183="外注費",D183="経費")),"費目を4つから選んでください",IF(K183="",IF(AND(ISNUMBER(F183),NOT(ISNUMBER(J183))),IF(D183="労務費","単価がありません（設定の作業者名と同じ書き方に）","単価がありません"),IF(AND(ISNUMBER(J183),NOT(ISNUMBER(F183))),"数量がありません","金額がありません")),IF(NOT(ISNUMBER(A183)),"日付がありません（月別集計に入りません）",IF(AND(ISNUMBER(F183),ISNUMBER(J183),ISNUMBER(I183)),"数量×単価を使いました（金額の欄は使っていません）","")))))))</f>
        <v/>
      </c>
      <c r="N183" s="91">
        <f>IF(AND(B183&lt;&gt;"",B183='案件カード'!$C$3),COUNTIF($B$5:B183,'案件カード'!$C$3),"")</f>
        <v/>
      </c>
      <c r="O183" s="91">
        <f>IF(ISNUMBER(K183),IF(B183="",K183,IF(AND(ISNUMBER(MATCH(B183,'案件'!$A$6:$A$105,0)),OR(D183="材料費",D183="労務費",D183="外注費",D183="経費")),0,K183)),0)</f>
        <v/>
      </c>
    </row>
    <row r="184" ht="16" customHeight="1">
      <c r="A184" s="35" t="n"/>
      <c r="B184" s="36" t="n"/>
      <c r="C184" s="37">
        <f>IF(B184="","",IFERROR(INDEX('案件'!$B$6:$B$105,MATCH(B184,'案件'!$A$6:$A$105,0))&amp;"","（案件シートに無い番号）"))</f>
        <v/>
      </c>
      <c r="D184" s="36" t="n"/>
      <c r="E184" s="38" t="n"/>
      <c r="F184" s="39" t="n"/>
      <c r="G184" s="36" t="n"/>
      <c r="H184" s="40" t="n"/>
      <c r="I184" s="40" t="n"/>
      <c r="J184" s="41">
        <f>IF(ISNUMBER(H184),H184,IF(AND(D184="労務費",TRIM(E184)&lt;&gt;""),IFERROR(INDEX('設定'!$G$12:$G$31,MATCH(TRIM(E184),'設定'!$J$12:$J$31,0)),""),""))</f>
        <v/>
      </c>
      <c r="K184" s="30">
        <f>IF(AND(ISNUMBER(F184),ISNUMBER(J184)),ROUND(F184*J184,0),IF(ISNUMBER(I184),I184,""))</f>
        <v/>
      </c>
      <c r="L184" s="33" t="n"/>
      <c r="M184" s="34">
        <f>IF(COUNTA(A184:B184,D184:I184,L184)=0,"",IF(B184="","案件番号がありません",IF(ISNA(MATCH(B184,'案件'!$A$6:$A$105,0)),"案件シートに無い番号です",IF(NOT(OR(D184="材料費",D184="労務費",D184="外注費",D184="経費")),"費目を4つから選んでください",IF(K184="",IF(AND(ISNUMBER(F184),NOT(ISNUMBER(J184))),IF(D184="労務費","単価がありません（設定の作業者名と同じ書き方に）","単価がありません"),IF(AND(ISNUMBER(J184),NOT(ISNUMBER(F184))),"数量がありません","金額がありません")),IF(NOT(ISNUMBER(A184)),"日付がありません（月別集計に入りません）",IF(AND(ISNUMBER(F184),ISNUMBER(J184),ISNUMBER(I184)),"数量×単価を使いました（金額の欄は使っていません）","")))))))</f>
        <v/>
      </c>
      <c r="N184" s="91">
        <f>IF(AND(B184&lt;&gt;"",B184='案件カード'!$C$3),COUNTIF($B$5:B184,'案件カード'!$C$3),"")</f>
        <v/>
      </c>
      <c r="O184" s="91">
        <f>IF(ISNUMBER(K184),IF(B184="",K184,IF(AND(ISNUMBER(MATCH(B184,'案件'!$A$6:$A$105,0)),OR(D184="材料費",D184="労務費",D184="外注費",D184="経費")),0,K184)),0)</f>
        <v/>
      </c>
    </row>
    <row r="185" ht="16" customHeight="1">
      <c r="A185" s="35" t="n"/>
      <c r="B185" s="36" t="n"/>
      <c r="C185" s="37">
        <f>IF(B185="","",IFERROR(INDEX('案件'!$B$6:$B$105,MATCH(B185,'案件'!$A$6:$A$105,0))&amp;"","（案件シートに無い番号）"))</f>
        <v/>
      </c>
      <c r="D185" s="36" t="n"/>
      <c r="E185" s="38" t="n"/>
      <c r="F185" s="39" t="n"/>
      <c r="G185" s="36" t="n"/>
      <c r="H185" s="40" t="n"/>
      <c r="I185" s="40" t="n"/>
      <c r="J185" s="41">
        <f>IF(ISNUMBER(H185),H185,IF(AND(D185="労務費",TRIM(E185)&lt;&gt;""),IFERROR(INDEX('設定'!$G$12:$G$31,MATCH(TRIM(E185),'設定'!$J$12:$J$31,0)),""),""))</f>
        <v/>
      </c>
      <c r="K185" s="30">
        <f>IF(AND(ISNUMBER(F185),ISNUMBER(J185)),ROUND(F185*J185,0),IF(ISNUMBER(I185),I185,""))</f>
        <v/>
      </c>
      <c r="L185" s="33" t="n"/>
      <c r="M185" s="34">
        <f>IF(COUNTA(A185:B185,D185:I185,L185)=0,"",IF(B185="","案件番号がありません",IF(ISNA(MATCH(B185,'案件'!$A$6:$A$105,0)),"案件シートに無い番号です",IF(NOT(OR(D185="材料費",D185="労務費",D185="外注費",D185="経費")),"費目を4つから選んでください",IF(K185="",IF(AND(ISNUMBER(F185),NOT(ISNUMBER(J185))),IF(D185="労務費","単価がありません（設定の作業者名と同じ書き方に）","単価がありません"),IF(AND(ISNUMBER(J185),NOT(ISNUMBER(F185))),"数量がありません","金額がありません")),IF(NOT(ISNUMBER(A185)),"日付がありません（月別集計に入りません）",IF(AND(ISNUMBER(F185),ISNUMBER(J185),ISNUMBER(I185)),"数量×単価を使いました（金額の欄は使っていません）","")))))))</f>
        <v/>
      </c>
      <c r="N185" s="91">
        <f>IF(AND(B185&lt;&gt;"",B185='案件カード'!$C$3),COUNTIF($B$5:B185,'案件カード'!$C$3),"")</f>
        <v/>
      </c>
      <c r="O185" s="91">
        <f>IF(ISNUMBER(K185),IF(B185="",K185,IF(AND(ISNUMBER(MATCH(B185,'案件'!$A$6:$A$105,0)),OR(D185="材料費",D185="労務費",D185="外注費",D185="経費")),0,K185)),0)</f>
        <v/>
      </c>
    </row>
    <row r="186" ht="16" customHeight="1">
      <c r="A186" s="35" t="n"/>
      <c r="B186" s="36" t="n"/>
      <c r="C186" s="37">
        <f>IF(B186="","",IFERROR(INDEX('案件'!$B$6:$B$105,MATCH(B186,'案件'!$A$6:$A$105,0))&amp;"","（案件シートに無い番号）"))</f>
        <v/>
      </c>
      <c r="D186" s="36" t="n"/>
      <c r="E186" s="38" t="n"/>
      <c r="F186" s="39" t="n"/>
      <c r="G186" s="36" t="n"/>
      <c r="H186" s="40" t="n"/>
      <c r="I186" s="40" t="n"/>
      <c r="J186" s="41">
        <f>IF(ISNUMBER(H186),H186,IF(AND(D186="労務費",TRIM(E186)&lt;&gt;""),IFERROR(INDEX('設定'!$G$12:$G$31,MATCH(TRIM(E186),'設定'!$J$12:$J$31,0)),""),""))</f>
        <v/>
      </c>
      <c r="K186" s="30">
        <f>IF(AND(ISNUMBER(F186),ISNUMBER(J186)),ROUND(F186*J186,0),IF(ISNUMBER(I186),I186,""))</f>
        <v/>
      </c>
      <c r="L186" s="33" t="n"/>
      <c r="M186" s="34">
        <f>IF(COUNTA(A186:B186,D186:I186,L186)=0,"",IF(B186="","案件番号がありません",IF(ISNA(MATCH(B186,'案件'!$A$6:$A$105,0)),"案件シートに無い番号です",IF(NOT(OR(D186="材料費",D186="労務費",D186="外注費",D186="経費")),"費目を4つから選んでください",IF(K186="",IF(AND(ISNUMBER(F186),NOT(ISNUMBER(J186))),IF(D186="労務費","単価がありません（設定の作業者名と同じ書き方に）","単価がありません"),IF(AND(ISNUMBER(J186),NOT(ISNUMBER(F186))),"数量がありません","金額がありません")),IF(NOT(ISNUMBER(A186)),"日付がありません（月別集計に入りません）",IF(AND(ISNUMBER(F186),ISNUMBER(J186),ISNUMBER(I186)),"数量×単価を使いました（金額の欄は使っていません）","")))))))</f>
        <v/>
      </c>
      <c r="N186" s="91">
        <f>IF(AND(B186&lt;&gt;"",B186='案件カード'!$C$3),COUNTIF($B$5:B186,'案件カード'!$C$3),"")</f>
        <v/>
      </c>
      <c r="O186" s="91">
        <f>IF(ISNUMBER(K186),IF(B186="",K186,IF(AND(ISNUMBER(MATCH(B186,'案件'!$A$6:$A$105,0)),OR(D186="材料費",D186="労務費",D186="外注費",D186="経費")),0,K186)),0)</f>
        <v/>
      </c>
    </row>
    <row r="187" ht="16" customHeight="1">
      <c r="A187" s="35" t="n"/>
      <c r="B187" s="36" t="n"/>
      <c r="C187" s="37">
        <f>IF(B187="","",IFERROR(INDEX('案件'!$B$6:$B$105,MATCH(B187,'案件'!$A$6:$A$105,0))&amp;"","（案件シートに無い番号）"))</f>
        <v/>
      </c>
      <c r="D187" s="36" t="n"/>
      <c r="E187" s="38" t="n"/>
      <c r="F187" s="39" t="n"/>
      <c r="G187" s="36" t="n"/>
      <c r="H187" s="40" t="n"/>
      <c r="I187" s="40" t="n"/>
      <c r="J187" s="41">
        <f>IF(ISNUMBER(H187),H187,IF(AND(D187="労務費",TRIM(E187)&lt;&gt;""),IFERROR(INDEX('設定'!$G$12:$G$31,MATCH(TRIM(E187),'設定'!$J$12:$J$31,0)),""),""))</f>
        <v/>
      </c>
      <c r="K187" s="30">
        <f>IF(AND(ISNUMBER(F187),ISNUMBER(J187)),ROUND(F187*J187,0),IF(ISNUMBER(I187),I187,""))</f>
        <v/>
      </c>
      <c r="L187" s="33" t="n"/>
      <c r="M187" s="34">
        <f>IF(COUNTA(A187:B187,D187:I187,L187)=0,"",IF(B187="","案件番号がありません",IF(ISNA(MATCH(B187,'案件'!$A$6:$A$105,0)),"案件シートに無い番号です",IF(NOT(OR(D187="材料費",D187="労務費",D187="外注費",D187="経費")),"費目を4つから選んでください",IF(K187="",IF(AND(ISNUMBER(F187),NOT(ISNUMBER(J187))),IF(D187="労務費","単価がありません（設定の作業者名と同じ書き方に）","単価がありません"),IF(AND(ISNUMBER(J187),NOT(ISNUMBER(F187))),"数量がありません","金額がありません")),IF(NOT(ISNUMBER(A187)),"日付がありません（月別集計に入りません）",IF(AND(ISNUMBER(F187),ISNUMBER(J187),ISNUMBER(I187)),"数量×単価を使いました（金額の欄は使っていません）","")))))))</f>
        <v/>
      </c>
      <c r="N187" s="91">
        <f>IF(AND(B187&lt;&gt;"",B187='案件カード'!$C$3),COUNTIF($B$5:B187,'案件カード'!$C$3),"")</f>
        <v/>
      </c>
      <c r="O187" s="91">
        <f>IF(ISNUMBER(K187),IF(B187="",K187,IF(AND(ISNUMBER(MATCH(B187,'案件'!$A$6:$A$105,0)),OR(D187="材料費",D187="労務費",D187="外注費",D187="経費")),0,K187)),0)</f>
        <v/>
      </c>
    </row>
    <row r="188" ht="16" customHeight="1">
      <c r="A188" s="35" t="n"/>
      <c r="B188" s="36" t="n"/>
      <c r="C188" s="37">
        <f>IF(B188="","",IFERROR(INDEX('案件'!$B$6:$B$105,MATCH(B188,'案件'!$A$6:$A$105,0))&amp;"","（案件シートに無い番号）"))</f>
        <v/>
      </c>
      <c r="D188" s="36" t="n"/>
      <c r="E188" s="38" t="n"/>
      <c r="F188" s="39" t="n"/>
      <c r="G188" s="36" t="n"/>
      <c r="H188" s="40" t="n"/>
      <c r="I188" s="40" t="n"/>
      <c r="J188" s="41">
        <f>IF(ISNUMBER(H188),H188,IF(AND(D188="労務費",TRIM(E188)&lt;&gt;""),IFERROR(INDEX('設定'!$G$12:$G$31,MATCH(TRIM(E188),'設定'!$J$12:$J$31,0)),""),""))</f>
        <v/>
      </c>
      <c r="K188" s="30">
        <f>IF(AND(ISNUMBER(F188),ISNUMBER(J188)),ROUND(F188*J188,0),IF(ISNUMBER(I188),I188,""))</f>
        <v/>
      </c>
      <c r="L188" s="33" t="n"/>
      <c r="M188" s="34">
        <f>IF(COUNTA(A188:B188,D188:I188,L188)=0,"",IF(B188="","案件番号がありません",IF(ISNA(MATCH(B188,'案件'!$A$6:$A$105,0)),"案件シートに無い番号です",IF(NOT(OR(D188="材料費",D188="労務費",D188="外注費",D188="経費")),"費目を4つから選んでください",IF(K188="",IF(AND(ISNUMBER(F188),NOT(ISNUMBER(J188))),IF(D188="労務費","単価がありません（設定の作業者名と同じ書き方に）","単価がありません"),IF(AND(ISNUMBER(J188),NOT(ISNUMBER(F188))),"数量がありません","金額がありません")),IF(NOT(ISNUMBER(A188)),"日付がありません（月別集計に入りません）",IF(AND(ISNUMBER(F188),ISNUMBER(J188),ISNUMBER(I188)),"数量×単価を使いました（金額の欄は使っていません）","")))))))</f>
        <v/>
      </c>
      <c r="N188" s="91">
        <f>IF(AND(B188&lt;&gt;"",B188='案件カード'!$C$3),COUNTIF($B$5:B188,'案件カード'!$C$3),"")</f>
        <v/>
      </c>
      <c r="O188" s="91">
        <f>IF(ISNUMBER(K188),IF(B188="",K188,IF(AND(ISNUMBER(MATCH(B188,'案件'!$A$6:$A$105,0)),OR(D188="材料費",D188="労務費",D188="外注費",D188="経費")),0,K188)),0)</f>
        <v/>
      </c>
    </row>
    <row r="189" ht="16" customHeight="1">
      <c r="A189" s="35" t="n"/>
      <c r="B189" s="36" t="n"/>
      <c r="C189" s="37">
        <f>IF(B189="","",IFERROR(INDEX('案件'!$B$6:$B$105,MATCH(B189,'案件'!$A$6:$A$105,0))&amp;"","（案件シートに無い番号）"))</f>
        <v/>
      </c>
      <c r="D189" s="36" t="n"/>
      <c r="E189" s="38" t="n"/>
      <c r="F189" s="39" t="n"/>
      <c r="G189" s="36" t="n"/>
      <c r="H189" s="40" t="n"/>
      <c r="I189" s="40" t="n"/>
      <c r="J189" s="41">
        <f>IF(ISNUMBER(H189),H189,IF(AND(D189="労務費",TRIM(E189)&lt;&gt;""),IFERROR(INDEX('設定'!$G$12:$G$31,MATCH(TRIM(E189),'設定'!$J$12:$J$31,0)),""),""))</f>
        <v/>
      </c>
      <c r="K189" s="30">
        <f>IF(AND(ISNUMBER(F189),ISNUMBER(J189)),ROUND(F189*J189,0),IF(ISNUMBER(I189),I189,""))</f>
        <v/>
      </c>
      <c r="L189" s="33" t="n"/>
      <c r="M189" s="34">
        <f>IF(COUNTA(A189:B189,D189:I189,L189)=0,"",IF(B189="","案件番号がありません",IF(ISNA(MATCH(B189,'案件'!$A$6:$A$105,0)),"案件シートに無い番号です",IF(NOT(OR(D189="材料費",D189="労務費",D189="外注費",D189="経費")),"費目を4つから選んでください",IF(K189="",IF(AND(ISNUMBER(F189),NOT(ISNUMBER(J189))),IF(D189="労務費","単価がありません（設定の作業者名と同じ書き方に）","単価がありません"),IF(AND(ISNUMBER(J189),NOT(ISNUMBER(F189))),"数量がありません","金額がありません")),IF(NOT(ISNUMBER(A189)),"日付がありません（月別集計に入りません）",IF(AND(ISNUMBER(F189),ISNUMBER(J189),ISNUMBER(I189)),"数量×単価を使いました（金額の欄は使っていません）","")))))))</f>
        <v/>
      </c>
      <c r="N189" s="91">
        <f>IF(AND(B189&lt;&gt;"",B189='案件カード'!$C$3),COUNTIF($B$5:B189,'案件カード'!$C$3),"")</f>
        <v/>
      </c>
      <c r="O189" s="91">
        <f>IF(ISNUMBER(K189),IF(B189="",K189,IF(AND(ISNUMBER(MATCH(B189,'案件'!$A$6:$A$105,0)),OR(D189="材料費",D189="労務費",D189="外注費",D189="経費")),0,K189)),0)</f>
        <v/>
      </c>
    </row>
    <row r="190" ht="16" customHeight="1">
      <c r="A190" s="35" t="n"/>
      <c r="B190" s="36" t="n"/>
      <c r="C190" s="37">
        <f>IF(B190="","",IFERROR(INDEX('案件'!$B$6:$B$105,MATCH(B190,'案件'!$A$6:$A$105,0))&amp;"","（案件シートに無い番号）"))</f>
        <v/>
      </c>
      <c r="D190" s="36" t="n"/>
      <c r="E190" s="38" t="n"/>
      <c r="F190" s="39" t="n"/>
      <c r="G190" s="36" t="n"/>
      <c r="H190" s="40" t="n"/>
      <c r="I190" s="40" t="n"/>
      <c r="J190" s="41">
        <f>IF(ISNUMBER(H190),H190,IF(AND(D190="労務費",TRIM(E190)&lt;&gt;""),IFERROR(INDEX('設定'!$G$12:$G$31,MATCH(TRIM(E190),'設定'!$J$12:$J$31,0)),""),""))</f>
        <v/>
      </c>
      <c r="K190" s="30">
        <f>IF(AND(ISNUMBER(F190),ISNUMBER(J190)),ROUND(F190*J190,0),IF(ISNUMBER(I190),I190,""))</f>
        <v/>
      </c>
      <c r="L190" s="33" t="n"/>
      <c r="M190" s="34">
        <f>IF(COUNTA(A190:B190,D190:I190,L190)=0,"",IF(B190="","案件番号がありません",IF(ISNA(MATCH(B190,'案件'!$A$6:$A$105,0)),"案件シートに無い番号です",IF(NOT(OR(D190="材料費",D190="労務費",D190="外注費",D190="経費")),"費目を4つから選んでください",IF(K190="",IF(AND(ISNUMBER(F190),NOT(ISNUMBER(J190))),IF(D190="労務費","単価がありません（設定の作業者名と同じ書き方に）","単価がありません"),IF(AND(ISNUMBER(J190),NOT(ISNUMBER(F190))),"数量がありません","金額がありません")),IF(NOT(ISNUMBER(A190)),"日付がありません（月別集計に入りません）",IF(AND(ISNUMBER(F190),ISNUMBER(J190),ISNUMBER(I190)),"数量×単価を使いました（金額の欄は使っていません）","")))))))</f>
        <v/>
      </c>
      <c r="N190" s="91">
        <f>IF(AND(B190&lt;&gt;"",B190='案件カード'!$C$3),COUNTIF($B$5:B190,'案件カード'!$C$3),"")</f>
        <v/>
      </c>
      <c r="O190" s="91">
        <f>IF(ISNUMBER(K190),IF(B190="",K190,IF(AND(ISNUMBER(MATCH(B190,'案件'!$A$6:$A$105,0)),OR(D190="材料費",D190="労務費",D190="外注費",D190="経費")),0,K190)),0)</f>
        <v/>
      </c>
    </row>
    <row r="191" ht="16" customHeight="1">
      <c r="A191" s="35" t="n"/>
      <c r="B191" s="36" t="n"/>
      <c r="C191" s="37">
        <f>IF(B191="","",IFERROR(INDEX('案件'!$B$6:$B$105,MATCH(B191,'案件'!$A$6:$A$105,0))&amp;"","（案件シートに無い番号）"))</f>
        <v/>
      </c>
      <c r="D191" s="36" t="n"/>
      <c r="E191" s="38" t="n"/>
      <c r="F191" s="39" t="n"/>
      <c r="G191" s="36" t="n"/>
      <c r="H191" s="40" t="n"/>
      <c r="I191" s="40" t="n"/>
      <c r="J191" s="41">
        <f>IF(ISNUMBER(H191),H191,IF(AND(D191="労務費",TRIM(E191)&lt;&gt;""),IFERROR(INDEX('設定'!$G$12:$G$31,MATCH(TRIM(E191),'設定'!$J$12:$J$31,0)),""),""))</f>
        <v/>
      </c>
      <c r="K191" s="30">
        <f>IF(AND(ISNUMBER(F191),ISNUMBER(J191)),ROUND(F191*J191,0),IF(ISNUMBER(I191),I191,""))</f>
        <v/>
      </c>
      <c r="L191" s="33" t="n"/>
      <c r="M191" s="34">
        <f>IF(COUNTA(A191:B191,D191:I191,L191)=0,"",IF(B191="","案件番号がありません",IF(ISNA(MATCH(B191,'案件'!$A$6:$A$105,0)),"案件シートに無い番号です",IF(NOT(OR(D191="材料費",D191="労務費",D191="外注費",D191="経費")),"費目を4つから選んでください",IF(K191="",IF(AND(ISNUMBER(F191),NOT(ISNUMBER(J191))),IF(D191="労務費","単価がありません（設定の作業者名と同じ書き方に）","単価がありません"),IF(AND(ISNUMBER(J191),NOT(ISNUMBER(F191))),"数量がありません","金額がありません")),IF(NOT(ISNUMBER(A191)),"日付がありません（月別集計に入りません）",IF(AND(ISNUMBER(F191),ISNUMBER(J191),ISNUMBER(I191)),"数量×単価を使いました（金額の欄は使っていません）","")))))))</f>
        <v/>
      </c>
      <c r="N191" s="91">
        <f>IF(AND(B191&lt;&gt;"",B191='案件カード'!$C$3),COUNTIF($B$5:B191,'案件カード'!$C$3),"")</f>
        <v/>
      </c>
      <c r="O191" s="91">
        <f>IF(ISNUMBER(K191),IF(B191="",K191,IF(AND(ISNUMBER(MATCH(B191,'案件'!$A$6:$A$105,0)),OR(D191="材料費",D191="労務費",D191="外注費",D191="経費")),0,K191)),0)</f>
        <v/>
      </c>
    </row>
    <row r="192" ht="16" customHeight="1">
      <c r="A192" s="35" t="n"/>
      <c r="B192" s="36" t="n"/>
      <c r="C192" s="37">
        <f>IF(B192="","",IFERROR(INDEX('案件'!$B$6:$B$105,MATCH(B192,'案件'!$A$6:$A$105,0))&amp;"","（案件シートに無い番号）"))</f>
        <v/>
      </c>
      <c r="D192" s="36" t="n"/>
      <c r="E192" s="38" t="n"/>
      <c r="F192" s="39" t="n"/>
      <c r="G192" s="36" t="n"/>
      <c r="H192" s="40" t="n"/>
      <c r="I192" s="40" t="n"/>
      <c r="J192" s="41">
        <f>IF(ISNUMBER(H192),H192,IF(AND(D192="労務費",TRIM(E192)&lt;&gt;""),IFERROR(INDEX('設定'!$G$12:$G$31,MATCH(TRIM(E192),'設定'!$J$12:$J$31,0)),""),""))</f>
        <v/>
      </c>
      <c r="K192" s="30">
        <f>IF(AND(ISNUMBER(F192),ISNUMBER(J192)),ROUND(F192*J192,0),IF(ISNUMBER(I192),I192,""))</f>
        <v/>
      </c>
      <c r="L192" s="33" t="n"/>
      <c r="M192" s="34">
        <f>IF(COUNTA(A192:B192,D192:I192,L192)=0,"",IF(B192="","案件番号がありません",IF(ISNA(MATCH(B192,'案件'!$A$6:$A$105,0)),"案件シートに無い番号です",IF(NOT(OR(D192="材料費",D192="労務費",D192="外注費",D192="経費")),"費目を4つから選んでください",IF(K192="",IF(AND(ISNUMBER(F192),NOT(ISNUMBER(J192))),IF(D192="労務費","単価がありません（設定の作業者名と同じ書き方に）","単価がありません"),IF(AND(ISNUMBER(J192),NOT(ISNUMBER(F192))),"数量がありません","金額がありません")),IF(NOT(ISNUMBER(A192)),"日付がありません（月別集計に入りません）",IF(AND(ISNUMBER(F192),ISNUMBER(J192),ISNUMBER(I192)),"数量×単価を使いました（金額の欄は使っていません）","")))))))</f>
        <v/>
      </c>
      <c r="N192" s="91">
        <f>IF(AND(B192&lt;&gt;"",B192='案件カード'!$C$3),COUNTIF($B$5:B192,'案件カード'!$C$3),"")</f>
        <v/>
      </c>
      <c r="O192" s="91">
        <f>IF(ISNUMBER(K192),IF(B192="",K192,IF(AND(ISNUMBER(MATCH(B192,'案件'!$A$6:$A$105,0)),OR(D192="材料費",D192="労務費",D192="外注費",D192="経費")),0,K192)),0)</f>
        <v/>
      </c>
    </row>
    <row r="193" ht="16" customHeight="1">
      <c r="A193" s="35" t="n"/>
      <c r="B193" s="36" t="n"/>
      <c r="C193" s="37">
        <f>IF(B193="","",IFERROR(INDEX('案件'!$B$6:$B$105,MATCH(B193,'案件'!$A$6:$A$105,0))&amp;"","（案件シートに無い番号）"))</f>
        <v/>
      </c>
      <c r="D193" s="36" t="n"/>
      <c r="E193" s="38" t="n"/>
      <c r="F193" s="39" t="n"/>
      <c r="G193" s="36" t="n"/>
      <c r="H193" s="40" t="n"/>
      <c r="I193" s="40" t="n"/>
      <c r="J193" s="41">
        <f>IF(ISNUMBER(H193),H193,IF(AND(D193="労務費",TRIM(E193)&lt;&gt;""),IFERROR(INDEX('設定'!$G$12:$G$31,MATCH(TRIM(E193),'設定'!$J$12:$J$31,0)),""),""))</f>
        <v/>
      </c>
      <c r="K193" s="30">
        <f>IF(AND(ISNUMBER(F193),ISNUMBER(J193)),ROUND(F193*J193,0),IF(ISNUMBER(I193),I193,""))</f>
        <v/>
      </c>
      <c r="L193" s="33" t="n"/>
      <c r="M193" s="34">
        <f>IF(COUNTA(A193:B193,D193:I193,L193)=0,"",IF(B193="","案件番号がありません",IF(ISNA(MATCH(B193,'案件'!$A$6:$A$105,0)),"案件シートに無い番号です",IF(NOT(OR(D193="材料費",D193="労務費",D193="外注費",D193="経費")),"費目を4つから選んでください",IF(K193="",IF(AND(ISNUMBER(F193),NOT(ISNUMBER(J193))),IF(D193="労務費","単価がありません（設定の作業者名と同じ書き方に）","単価がありません"),IF(AND(ISNUMBER(J193),NOT(ISNUMBER(F193))),"数量がありません","金額がありません")),IF(NOT(ISNUMBER(A193)),"日付がありません（月別集計に入りません）",IF(AND(ISNUMBER(F193),ISNUMBER(J193),ISNUMBER(I193)),"数量×単価を使いました（金額の欄は使っていません）","")))))))</f>
        <v/>
      </c>
      <c r="N193" s="91">
        <f>IF(AND(B193&lt;&gt;"",B193='案件カード'!$C$3),COUNTIF($B$5:B193,'案件カード'!$C$3),"")</f>
        <v/>
      </c>
      <c r="O193" s="91">
        <f>IF(ISNUMBER(K193),IF(B193="",K193,IF(AND(ISNUMBER(MATCH(B193,'案件'!$A$6:$A$105,0)),OR(D193="材料費",D193="労務費",D193="外注費",D193="経費")),0,K193)),0)</f>
        <v/>
      </c>
    </row>
    <row r="194" ht="16" customHeight="1">
      <c r="A194" s="35" t="n"/>
      <c r="B194" s="36" t="n"/>
      <c r="C194" s="37">
        <f>IF(B194="","",IFERROR(INDEX('案件'!$B$6:$B$105,MATCH(B194,'案件'!$A$6:$A$105,0))&amp;"","（案件シートに無い番号）"))</f>
        <v/>
      </c>
      <c r="D194" s="36" t="n"/>
      <c r="E194" s="38" t="n"/>
      <c r="F194" s="39" t="n"/>
      <c r="G194" s="36" t="n"/>
      <c r="H194" s="40" t="n"/>
      <c r="I194" s="40" t="n"/>
      <c r="J194" s="41">
        <f>IF(ISNUMBER(H194),H194,IF(AND(D194="労務費",TRIM(E194)&lt;&gt;""),IFERROR(INDEX('設定'!$G$12:$G$31,MATCH(TRIM(E194),'設定'!$J$12:$J$31,0)),""),""))</f>
        <v/>
      </c>
      <c r="K194" s="30">
        <f>IF(AND(ISNUMBER(F194),ISNUMBER(J194)),ROUND(F194*J194,0),IF(ISNUMBER(I194),I194,""))</f>
        <v/>
      </c>
      <c r="L194" s="33" t="n"/>
      <c r="M194" s="34">
        <f>IF(COUNTA(A194:B194,D194:I194,L194)=0,"",IF(B194="","案件番号がありません",IF(ISNA(MATCH(B194,'案件'!$A$6:$A$105,0)),"案件シートに無い番号です",IF(NOT(OR(D194="材料費",D194="労務費",D194="外注費",D194="経費")),"費目を4つから選んでください",IF(K194="",IF(AND(ISNUMBER(F194),NOT(ISNUMBER(J194))),IF(D194="労務費","単価がありません（設定の作業者名と同じ書き方に）","単価がありません"),IF(AND(ISNUMBER(J194),NOT(ISNUMBER(F194))),"数量がありません","金額がありません")),IF(NOT(ISNUMBER(A194)),"日付がありません（月別集計に入りません）",IF(AND(ISNUMBER(F194),ISNUMBER(J194),ISNUMBER(I194)),"数量×単価を使いました（金額の欄は使っていません）","")))))))</f>
        <v/>
      </c>
      <c r="N194" s="91">
        <f>IF(AND(B194&lt;&gt;"",B194='案件カード'!$C$3),COUNTIF($B$5:B194,'案件カード'!$C$3),"")</f>
        <v/>
      </c>
      <c r="O194" s="91">
        <f>IF(ISNUMBER(K194),IF(B194="",K194,IF(AND(ISNUMBER(MATCH(B194,'案件'!$A$6:$A$105,0)),OR(D194="材料費",D194="労務費",D194="外注費",D194="経費")),0,K194)),0)</f>
        <v/>
      </c>
    </row>
    <row r="195" ht="16" customHeight="1">
      <c r="A195" s="35" t="n"/>
      <c r="B195" s="36" t="n"/>
      <c r="C195" s="37">
        <f>IF(B195="","",IFERROR(INDEX('案件'!$B$6:$B$105,MATCH(B195,'案件'!$A$6:$A$105,0))&amp;"","（案件シートに無い番号）"))</f>
        <v/>
      </c>
      <c r="D195" s="36" t="n"/>
      <c r="E195" s="38" t="n"/>
      <c r="F195" s="39" t="n"/>
      <c r="G195" s="36" t="n"/>
      <c r="H195" s="40" t="n"/>
      <c r="I195" s="40" t="n"/>
      <c r="J195" s="41">
        <f>IF(ISNUMBER(H195),H195,IF(AND(D195="労務費",TRIM(E195)&lt;&gt;""),IFERROR(INDEX('設定'!$G$12:$G$31,MATCH(TRIM(E195),'設定'!$J$12:$J$31,0)),""),""))</f>
        <v/>
      </c>
      <c r="K195" s="30">
        <f>IF(AND(ISNUMBER(F195),ISNUMBER(J195)),ROUND(F195*J195,0),IF(ISNUMBER(I195),I195,""))</f>
        <v/>
      </c>
      <c r="L195" s="33" t="n"/>
      <c r="M195" s="34">
        <f>IF(COUNTA(A195:B195,D195:I195,L195)=0,"",IF(B195="","案件番号がありません",IF(ISNA(MATCH(B195,'案件'!$A$6:$A$105,0)),"案件シートに無い番号です",IF(NOT(OR(D195="材料費",D195="労務費",D195="外注費",D195="経費")),"費目を4つから選んでください",IF(K195="",IF(AND(ISNUMBER(F195),NOT(ISNUMBER(J195))),IF(D195="労務費","単価がありません（設定の作業者名と同じ書き方に）","単価がありません"),IF(AND(ISNUMBER(J195),NOT(ISNUMBER(F195))),"数量がありません","金額がありません")),IF(NOT(ISNUMBER(A195)),"日付がありません（月別集計に入りません）",IF(AND(ISNUMBER(F195),ISNUMBER(J195),ISNUMBER(I195)),"数量×単価を使いました（金額の欄は使っていません）","")))))))</f>
        <v/>
      </c>
      <c r="N195" s="91">
        <f>IF(AND(B195&lt;&gt;"",B195='案件カード'!$C$3),COUNTIF($B$5:B195,'案件カード'!$C$3),"")</f>
        <v/>
      </c>
      <c r="O195" s="91">
        <f>IF(ISNUMBER(K195),IF(B195="",K195,IF(AND(ISNUMBER(MATCH(B195,'案件'!$A$6:$A$105,0)),OR(D195="材料費",D195="労務費",D195="外注費",D195="経費")),0,K195)),0)</f>
        <v/>
      </c>
    </row>
    <row r="196" ht="16" customHeight="1">
      <c r="A196" s="35" t="n"/>
      <c r="B196" s="36" t="n"/>
      <c r="C196" s="37">
        <f>IF(B196="","",IFERROR(INDEX('案件'!$B$6:$B$105,MATCH(B196,'案件'!$A$6:$A$105,0))&amp;"","（案件シートに無い番号）"))</f>
        <v/>
      </c>
      <c r="D196" s="36" t="n"/>
      <c r="E196" s="38" t="n"/>
      <c r="F196" s="39" t="n"/>
      <c r="G196" s="36" t="n"/>
      <c r="H196" s="40" t="n"/>
      <c r="I196" s="40" t="n"/>
      <c r="J196" s="41">
        <f>IF(ISNUMBER(H196),H196,IF(AND(D196="労務費",TRIM(E196)&lt;&gt;""),IFERROR(INDEX('設定'!$G$12:$G$31,MATCH(TRIM(E196),'設定'!$J$12:$J$31,0)),""),""))</f>
        <v/>
      </c>
      <c r="K196" s="30">
        <f>IF(AND(ISNUMBER(F196),ISNUMBER(J196)),ROUND(F196*J196,0),IF(ISNUMBER(I196),I196,""))</f>
        <v/>
      </c>
      <c r="L196" s="33" t="n"/>
      <c r="M196" s="34">
        <f>IF(COUNTA(A196:B196,D196:I196,L196)=0,"",IF(B196="","案件番号がありません",IF(ISNA(MATCH(B196,'案件'!$A$6:$A$105,0)),"案件シートに無い番号です",IF(NOT(OR(D196="材料費",D196="労務費",D196="外注費",D196="経費")),"費目を4つから選んでください",IF(K196="",IF(AND(ISNUMBER(F196),NOT(ISNUMBER(J196))),IF(D196="労務費","単価がありません（設定の作業者名と同じ書き方に）","単価がありません"),IF(AND(ISNUMBER(J196),NOT(ISNUMBER(F196))),"数量がありません","金額がありません")),IF(NOT(ISNUMBER(A196)),"日付がありません（月別集計に入りません）",IF(AND(ISNUMBER(F196),ISNUMBER(J196),ISNUMBER(I196)),"数量×単価を使いました（金額の欄は使っていません）","")))))))</f>
        <v/>
      </c>
      <c r="N196" s="91">
        <f>IF(AND(B196&lt;&gt;"",B196='案件カード'!$C$3),COUNTIF($B$5:B196,'案件カード'!$C$3),"")</f>
        <v/>
      </c>
      <c r="O196" s="91">
        <f>IF(ISNUMBER(K196),IF(B196="",K196,IF(AND(ISNUMBER(MATCH(B196,'案件'!$A$6:$A$105,0)),OR(D196="材料費",D196="労務費",D196="外注費",D196="経費")),0,K196)),0)</f>
        <v/>
      </c>
    </row>
    <row r="197" ht="16" customHeight="1">
      <c r="A197" s="35" t="n"/>
      <c r="B197" s="36" t="n"/>
      <c r="C197" s="37">
        <f>IF(B197="","",IFERROR(INDEX('案件'!$B$6:$B$105,MATCH(B197,'案件'!$A$6:$A$105,0))&amp;"","（案件シートに無い番号）"))</f>
        <v/>
      </c>
      <c r="D197" s="36" t="n"/>
      <c r="E197" s="38" t="n"/>
      <c r="F197" s="39" t="n"/>
      <c r="G197" s="36" t="n"/>
      <c r="H197" s="40" t="n"/>
      <c r="I197" s="40" t="n"/>
      <c r="J197" s="41">
        <f>IF(ISNUMBER(H197),H197,IF(AND(D197="労務費",TRIM(E197)&lt;&gt;""),IFERROR(INDEX('設定'!$G$12:$G$31,MATCH(TRIM(E197),'設定'!$J$12:$J$31,0)),""),""))</f>
        <v/>
      </c>
      <c r="K197" s="30">
        <f>IF(AND(ISNUMBER(F197),ISNUMBER(J197)),ROUND(F197*J197,0),IF(ISNUMBER(I197),I197,""))</f>
        <v/>
      </c>
      <c r="L197" s="33" t="n"/>
      <c r="M197" s="34">
        <f>IF(COUNTA(A197:B197,D197:I197,L197)=0,"",IF(B197="","案件番号がありません",IF(ISNA(MATCH(B197,'案件'!$A$6:$A$105,0)),"案件シートに無い番号です",IF(NOT(OR(D197="材料費",D197="労務費",D197="外注費",D197="経費")),"費目を4つから選んでください",IF(K197="",IF(AND(ISNUMBER(F197),NOT(ISNUMBER(J197))),IF(D197="労務費","単価がありません（設定の作業者名と同じ書き方に）","単価がありません"),IF(AND(ISNUMBER(J197),NOT(ISNUMBER(F197))),"数量がありません","金額がありません")),IF(NOT(ISNUMBER(A197)),"日付がありません（月別集計に入りません）",IF(AND(ISNUMBER(F197),ISNUMBER(J197),ISNUMBER(I197)),"数量×単価を使いました（金額の欄は使っていません）","")))))))</f>
        <v/>
      </c>
      <c r="N197" s="91">
        <f>IF(AND(B197&lt;&gt;"",B197='案件カード'!$C$3),COUNTIF($B$5:B197,'案件カード'!$C$3),"")</f>
        <v/>
      </c>
      <c r="O197" s="91">
        <f>IF(ISNUMBER(K197),IF(B197="",K197,IF(AND(ISNUMBER(MATCH(B197,'案件'!$A$6:$A$105,0)),OR(D197="材料費",D197="労務費",D197="外注費",D197="経費")),0,K197)),0)</f>
        <v/>
      </c>
    </row>
    <row r="198" ht="16" customHeight="1">
      <c r="A198" s="35" t="n"/>
      <c r="B198" s="36" t="n"/>
      <c r="C198" s="37">
        <f>IF(B198="","",IFERROR(INDEX('案件'!$B$6:$B$105,MATCH(B198,'案件'!$A$6:$A$105,0))&amp;"","（案件シートに無い番号）"))</f>
        <v/>
      </c>
      <c r="D198" s="36" t="n"/>
      <c r="E198" s="38" t="n"/>
      <c r="F198" s="39" t="n"/>
      <c r="G198" s="36" t="n"/>
      <c r="H198" s="40" t="n"/>
      <c r="I198" s="40" t="n"/>
      <c r="J198" s="41">
        <f>IF(ISNUMBER(H198),H198,IF(AND(D198="労務費",TRIM(E198)&lt;&gt;""),IFERROR(INDEX('設定'!$G$12:$G$31,MATCH(TRIM(E198),'設定'!$J$12:$J$31,0)),""),""))</f>
        <v/>
      </c>
      <c r="K198" s="30">
        <f>IF(AND(ISNUMBER(F198),ISNUMBER(J198)),ROUND(F198*J198,0),IF(ISNUMBER(I198),I198,""))</f>
        <v/>
      </c>
      <c r="L198" s="33" t="n"/>
      <c r="M198" s="34">
        <f>IF(COUNTA(A198:B198,D198:I198,L198)=0,"",IF(B198="","案件番号がありません",IF(ISNA(MATCH(B198,'案件'!$A$6:$A$105,0)),"案件シートに無い番号です",IF(NOT(OR(D198="材料費",D198="労務費",D198="外注費",D198="経費")),"費目を4つから選んでください",IF(K198="",IF(AND(ISNUMBER(F198),NOT(ISNUMBER(J198))),IF(D198="労務費","単価がありません（設定の作業者名と同じ書き方に）","単価がありません"),IF(AND(ISNUMBER(J198),NOT(ISNUMBER(F198))),"数量がありません","金額がありません")),IF(NOT(ISNUMBER(A198)),"日付がありません（月別集計に入りません）",IF(AND(ISNUMBER(F198),ISNUMBER(J198),ISNUMBER(I198)),"数量×単価を使いました（金額の欄は使っていません）","")))))))</f>
        <v/>
      </c>
      <c r="N198" s="91">
        <f>IF(AND(B198&lt;&gt;"",B198='案件カード'!$C$3),COUNTIF($B$5:B198,'案件カード'!$C$3),"")</f>
        <v/>
      </c>
      <c r="O198" s="91">
        <f>IF(ISNUMBER(K198),IF(B198="",K198,IF(AND(ISNUMBER(MATCH(B198,'案件'!$A$6:$A$105,0)),OR(D198="材料費",D198="労務費",D198="外注費",D198="経費")),0,K198)),0)</f>
        <v/>
      </c>
    </row>
    <row r="199" ht="16" customHeight="1">
      <c r="A199" s="35" t="n"/>
      <c r="B199" s="36" t="n"/>
      <c r="C199" s="37">
        <f>IF(B199="","",IFERROR(INDEX('案件'!$B$6:$B$105,MATCH(B199,'案件'!$A$6:$A$105,0))&amp;"","（案件シートに無い番号）"))</f>
        <v/>
      </c>
      <c r="D199" s="36" t="n"/>
      <c r="E199" s="38" t="n"/>
      <c r="F199" s="39" t="n"/>
      <c r="G199" s="36" t="n"/>
      <c r="H199" s="40" t="n"/>
      <c r="I199" s="40" t="n"/>
      <c r="J199" s="41">
        <f>IF(ISNUMBER(H199),H199,IF(AND(D199="労務費",TRIM(E199)&lt;&gt;""),IFERROR(INDEX('設定'!$G$12:$G$31,MATCH(TRIM(E199),'設定'!$J$12:$J$31,0)),""),""))</f>
        <v/>
      </c>
      <c r="K199" s="30">
        <f>IF(AND(ISNUMBER(F199),ISNUMBER(J199)),ROUND(F199*J199,0),IF(ISNUMBER(I199),I199,""))</f>
        <v/>
      </c>
      <c r="L199" s="33" t="n"/>
      <c r="M199" s="34">
        <f>IF(COUNTA(A199:B199,D199:I199,L199)=0,"",IF(B199="","案件番号がありません",IF(ISNA(MATCH(B199,'案件'!$A$6:$A$105,0)),"案件シートに無い番号です",IF(NOT(OR(D199="材料費",D199="労務費",D199="外注費",D199="経費")),"費目を4つから選んでください",IF(K199="",IF(AND(ISNUMBER(F199),NOT(ISNUMBER(J199))),IF(D199="労務費","単価がありません（設定の作業者名と同じ書き方に）","単価がありません"),IF(AND(ISNUMBER(J199),NOT(ISNUMBER(F199))),"数量がありません","金額がありません")),IF(NOT(ISNUMBER(A199)),"日付がありません（月別集計に入りません）",IF(AND(ISNUMBER(F199),ISNUMBER(J199),ISNUMBER(I199)),"数量×単価を使いました（金額の欄は使っていません）","")))))))</f>
        <v/>
      </c>
      <c r="N199" s="91">
        <f>IF(AND(B199&lt;&gt;"",B199='案件カード'!$C$3),COUNTIF($B$5:B199,'案件カード'!$C$3),"")</f>
        <v/>
      </c>
      <c r="O199" s="91">
        <f>IF(ISNUMBER(K199),IF(B199="",K199,IF(AND(ISNUMBER(MATCH(B199,'案件'!$A$6:$A$105,0)),OR(D199="材料費",D199="労務費",D199="外注費",D199="経費")),0,K199)),0)</f>
        <v/>
      </c>
    </row>
    <row r="200" ht="16" customHeight="1">
      <c r="A200" s="35" t="n"/>
      <c r="B200" s="36" t="n"/>
      <c r="C200" s="37">
        <f>IF(B200="","",IFERROR(INDEX('案件'!$B$6:$B$105,MATCH(B200,'案件'!$A$6:$A$105,0))&amp;"","（案件シートに無い番号）"))</f>
        <v/>
      </c>
      <c r="D200" s="36" t="n"/>
      <c r="E200" s="38" t="n"/>
      <c r="F200" s="39" t="n"/>
      <c r="G200" s="36" t="n"/>
      <c r="H200" s="40" t="n"/>
      <c r="I200" s="40" t="n"/>
      <c r="J200" s="41">
        <f>IF(ISNUMBER(H200),H200,IF(AND(D200="労務費",TRIM(E200)&lt;&gt;""),IFERROR(INDEX('設定'!$G$12:$G$31,MATCH(TRIM(E200),'設定'!$J$12:$J$31,0)),""),""))</f>
        <v/>
      </c>
      <c r="K200" s="30">
        <f>IF(AND(ISNUMBER(F200),ISNUMBER(J200)),ROUND(F200*J200,0),IF(ISNUMBER(I200),I200,""))</f>
        <v/>
      </c>
      <c r="L200" s="33" t="n"/>
      <c r="M200" s="34">
        <f>IF(COUNTA(A200:B200,D200:I200,L200)=0,"",IF(B200="","案件番号がありません",IF(ISNA(MATCH(B200,'案件'!$A$6:$A$105,0)),"案件シートに無い番号です",IF(NOT(OR(D200="材料費",D200="労務費",D200="外注費",D200="経費")),"費目を4つから選んでください",IF(K200="",IF(AND(ISNUMBER(F200),NOT(ISNUMBER(J200))),IF(D200="労務費","単価がありません（設定の作業者名と同じ書き方に）","単価がありません"),IF(AND(ISNUMBER(J200),NOT(ISNUMBER(F200))),"数量がありません","金額がありません")),IF(NOT(ISNUMBER(A200)),"日付がありません（月別集計に入りません）",IF(AND(ISNUMBER(F200),ISNUMBER(J200),ISNUMBER(I200)),"数量×単価を使いました（金額の欄は使っていません）","")))))))</f>
        <v/>
      </c>
      <c r="N200" s="91">
        <f>IF(AND(B200&lt;&gt;"",B200='案件カード'!$C$3),COUNTIF($B$5:B200,'案件カード'!$C$3),"")</f>
        <v/>
      </c>
      <c r="O200" s="91">
        <f>IF(ISNUMBER(K200),IF(B200="",K200,IF(AND(ISNUMBER(MATCH(B200,'案件'!$A$6:$A$105,0)),OR(D200="材料費",D200="労務費",D200="外注費",D200="経費")),0,K200)),0)</f>
        <v/>
      </c>
    </row>
    <row r="201" ht="16" customHeight="1">
      <c r="A201" s="35" t="n"/>
      <c r="B201" s="36" t="n"/>
      <c r="C201" s="37">
        <f>IF(B201="","",IFERROR(INDEX('案件'!$B$6:$B$105,MATCH(B201,'案件'!$A$6:$A$105,0))&amp;"","（案件シートに無い番号）"))</f>
        <v/>
      </c>
      <c r="D201" s="36" t="n"/>
      <c r="E201" s="38" t="n"/>
      <c r="F201" s="39" t="n"/>
      <c r="G201" s="36" t="n"/>
      <c r="H201" s="40" t="n"/>
      <c r="I201" s="40" t="n"/>
      <c r="J201" s="41">
        <f>IF(ISNUMBER(H201),H201,IF(AND(D201="労務費",TRIM(E201)&lt;&gt;""),IFERROR(INDEX('設定'!$G$12:$G$31,MATCH(TRIM(E201),'設定'!$J$12:$J$31,0)),""),""))</f>
        <v/>
      </c>
      <c r="K201" s="30">
        <f>IF(AND(ISNUMBER(F201),ISNUMBER(J201)),ROUND(F201*J201,0),IF(ISNUMBER(I201),I201,""))</f>
        <v/>
      </c>
      <c r="L201" s="33" t="n"/>
      <c r="M201" s="34">
        <f>IF(COUNTA(A201:B201,D201:I201,L201)=0,"",IF(B201="","案件番号がありません",IF(ISNA(MATCH(B201,'案件'!$A$6:$A$105,0)),"案件シートに無い番号です",IF(NOT(OR(D201="材料費",D201="労務費",D201="外注費",D201="経費")),"費目を4つから選んでください",IF(K201="",IF(AND(ISNUMBER(F201),NOT(ISNUMBER(J201))),IF(D201="労務費","単価がありません（設定の作業者名と同じ書き方に）","単価がありません"),IF(AND(ISNUMBER(J201),NOT(ISNUMBER(F201))),"数量がありません","金額がありません")),IF(NOT(ISNUMBER(A201)),"日付がありません（月別集計に入りません）",IF(AND(ISNUMBER(F201),ISNUMBER(J201),ISNUMBER(I201)),"数量×単価を使いました（金額の欄は使っていません）","")))))))</f>
        <v/>
      </c>
      <c r="N201" s="91">
        <f>IF(AND(B201&lt;&gt;"",B201='案件カード'!$C$3),COUNTIF($B$5:B201,'案件カード'!$C$3),"")</f>
        <v/>
      </c>
      <c r="O201" s="91">
        <f>IF(ISNUMBER(K201),IF(B201="",K201,IF(AND(ISNUMBER(MATCH(B201,'案件'!$A$6:$A$105,0)),OR(D201="材料費",D201="労務費",D201="外注費",D201="経費")),0,K201)),0)</f>
        <v/>
      </c>
    </row>
    <row r="202" ht="16" customHeight="1">
      <c r="A202" s="35" t="n"/>
      <c r="B202" s="36" t="n"/>
      <c r="C202" s="37">
        <f>IF(B202="","",IFERROR(INDEX('案件'!$B$6:$B$105,MATCH(B202,'案件'!$A$6:$A$105,0))&amp;"","（案件シートに無い番号）"))</f>
        <v/>
      </c>
      <c r="D202" s="36" t="n"/>
      <c r="E202" s="38" t="n"/>
      <c r="F202" s="39" t="n"/>
      <c r="G202" s="36" t="n"/>
      <c r="H202" s="40" t="n"/>
      <c r="I202" s="40" t="n"/>
      <c r="J202" s="41">
        <f>IF(ISNUMBER(H202),H202,IF(AND(D202="労務費",TRIM(E202)&lt;&gt;""),IFERROR(INDEX('設定'!$G$12:$G$31,MATCH(TRIM(E202),'設定'!$J$12:$J$31,0)),""),""))</f>
        <v/>
      </c>
      <c r="K202" s="30">
        <f>IF(AND(ISNUMBER(F202),ISNUMBER(J202)),ROUND(F202*J202,0),IF(ISNUMBER(I202),I202,""))</f>
        <v/>
      </c>
      <c r="L202" s="33" t="n"/>
      <c r="M202" s="34">
        <f>IF(COUNTA(A202:B202,D202:I202,L202)=0,"",IF(B202="","案件番号がありません",IF(ISNA(MATCH(B202,'案件'!$A$6:$A$105,0)),"案件シートに無い番号です",IF(NOT(OR(D202="材料費",D202="労務費",D202="外注費",D202="経費")),"費目を4つから選んでください",IF(K202="",IF(AND(ISNUMBER(F202),NOT(ISNUMBER(J202))),IF(D202="労務費","単価がありません（設定の作業者名と同じ書き方に）","単価がありません"),IF(AND(ISNUMBER(J202),NOT(ISNUMBER(F202))),"数量がありません","金額がありません")),IF(NOT(ISNUMBER(A202)),"日付がありません（月別集計に入りません）",IF(AND(ISNUMBER(F202),ISNUMBER(J202),ISNUMBER(I202)),"数量×単価を使いました（金額の欄は使っていません）","")))))))</f>
        <v/>
      </c>
      <c r="N202" s="91">
        <f>IF(AND(B202&lt;&gt;"",B202='案件カード'!$C$3),COUNTIF($B$5:B202,'案件カード'!$C$3),"")</f>
        <v/>
      </c>
      <c r="O202" s="91">
        <f>IF(ISNUMBER(K202),IF(B202="",K202,IF(AND(ISNUMBER(MATCH(B202,'案件'!$A$6:$A$105,0)),OR(D202="材料費",D202="労務費",D202="外注費",D202="経費")),0,K202)),0)</f>
        <v/>
      </c>
    </row>
    <row r="203" ht="16" customHeight="1">
      <c r="A203" s="35" t="n"/>
      <c r="B203" s="36" t="n"/>
      <c r="C203" s="37">
        <f>IF(B203="","",IFERROR(INDEX('案件'!$B$6:$B$105,MATCH(B203,'案件'!$A$6:$A$105,0))&amp;"","（案件シートに無い番号）"))</f>
        <v/>
      </c>
      <c r="D203" s="36" t="n"/>
      <c r="E203" s="38" t="n"/>
      <c r="F203" s="39" t="n"/>
      <c r="G203" s="36" t="n"/>
      <c r="H203" s="40" t="n"/>
      <c r="I203" s="40" t="n"/>
      <c r="J203" s="41">
        <f>IF(ISNUMBER(H203),H203,IF(AND(D203="労務費",TRIM(E203)&lt;&gt;""),IFERROR(INDEX('設定'!$G$12:$G$31,MATCH(TRIM(E203),'設定'!$J$12:$J$31,0)),""),""))</f>
        <v/>
      </c>
      <c r="K203" s="30">
        <f>IF(AND(ISNUMBER(F203),ISNUMBER(J203)),ROUND(F203*J203,0),IF(ISNUMBER(I203),I203,""))</f>
        <v/>
      </c>
      <c r="L203" s="33" t="n"/>
      <c r="M203" s="34">
        <f>IF(COUNTA(A203:B203,D203:I203,L203)=0,"",IF(B203="","案件番号がありません",IF(ISNA(MATCH(B203,'案件'!$A$6:$A$105,0)),"案件シートに無い番号です",IF(NOT(OR(D203="材料費",D203="労務費",D203="外注費",D203="経費")),"費目を4つから選んでください",IF(K203="",IF(AND(ISNUMBER(F203),NOT(ISNUMBER(J203))),IF(D203="労務費","単価がありません（設定の作業者名と同じ書き方に）","単価がありません"),IF(AND(ISNUMBER(J203),NOT(ISNUMBER(F203))),"数量がありません","金額がありません")),IF(NOT(ISNUMBER(A203)),"日付がありません（月別集計に入りません）",IF(AND(ISNUMBER(F203),ISNUMBER(J203),ISNUMBER(I203)),"数量×単価を使いました（金額の欄は使っていません）","")))))))</f>
        <v/>
      </c>
      <c r="N203" s="91">
        <f>IF(AND(B203&lt;&gt;"",B203='案件カード'!$C$3),COUNTIF($B$5:B203,'案件カード'!$C$3),"")</f>
        <v/>
      </c>
      <c r="O203" s="91">
        <f>IF(ISNUMBER(K203),IF(B203="",K203,IF(AND(ISNUMBER(MATCH(B203,'案件'!$A$6:$A$105,0)),OR(D203="材料費",D203="労務費",D203="外注費",D203="経費")),0,K203)),0)</f>
        <v/>
      </c>
    </row>
    <row r="204" ht="16" customHeight="1">
      <c r="A204" s="35" t="n"/>
      <c r="B204" s="36" t="n"/>
      <c r="C204" s="37">
        <f>IF(B204="","",IFERROR(INDEX('案件'!$B$6:$B$105,MATCH(B204,'案件'!$A$6:$A$105,0))&amp;"","（案件シートに無い番号）"))</f>
        <v/>
      </c>
      <c r="D204" s="36" t="n"/>
      <c r="E204" s="38" t="n"/>
      <c r="F204" s="39" t="n"/>
      <c r="G204" s="36" t="n"/>
      <c r="H204" s="40" t="n"/>
      <c r="I204" s="40" t="n"/>
      <c r="J204" s="41">
        <f>IF(ISNUMBER(H204),H204,IF(AND(D204="労務費",TRIM(E204)&lt;&gt;""),IFERROR(INDEX('設定'!$G$12:$G$31,MATCH(TRIM(E204),'設定'!$J$12:$J$31,0)),""),""))</f>
        <v/>
      </c>
      <c r="K204" s="30">
        <f>IF(AND(ISNUMBER(F204),ISNUMBER(J204)),ROUND(F204*J204,0),IF(ISNUMBER(I204),I204,""))</f>
        <v/>
      </c>
      <c r="L204" s="33" t="n"/>
      <c r="M204" s="34">
        <f>IF(COUNTA(A204:B204,D204:I204,L204)=0,"",IF(B204="","案件番号がありません",IF(ISNA(MATCH(B204,'案件'!$A$6:$A$105,0)),"案件シートに無い番号です",IF(NOT(OR(D204="材料費",D204="労務費",D204="外注費",D204="経費")),"費目を4つから選んでください",IF(K204="",IF(AND(ISNUMBER(F204),NOT(ISNUMBER(J204))),IF(D204="労務費","単価がありません（設定の作業者名と同じ書き方に）","単価がありません"),IF(AND(ISNUMBER(J204),NOT(ISNUMBER(F204))),"数量がありません","金額がありません")),IF(NOT(ISNUMBER(A204)),"日付がありません（月別集計に入りません）",IF(AND(ISNUMBER(F204),ISNUMBER(J204),ISNUMBER(I204)),"数量×単価を使いました（金額の欄は使っていません）","")))))))</f>
        <v/>
      </c>
      <c r="N204" s="91">
        <f>IF(AND(B204&lt;&gt;"",B204='案件カード'!$C$3),COUNTIF($B$5:B204,'案件カード'!$C$3),"")</f>
        <v/>
      </c>
      <c r="O204" s="91">
        <f>IF(ISNUMBER(K204),IF(B204="",K204,IF(AND(ISNUMBER(MATCH(B204,'案件'!$A$6:$A$105,0)),OR(D204="材料費",D204="労務費",D204="外注費",D204="経費")),0,K204)),0)</f>
        <v/>
      </c>
    </row>
    <row r="205" ht="16" customHeight="1">
      <c r="A205" s="35" t="n"/>
      <c r="B205" s="36" t="n"/>
      <c r="C205" s="37">
        <f>IF(B205="","",IFERROR(INDEX('案件'!$B$6:$B$105,MATCH(B205,'案件'!$A$6:$A$105,0))&amp;"","（案件シートに無い番号）"))</f>
        <v/>
      </c>
      <c r="D205" s="36" t="n"/>
      <c r="E205" s="38" t="n"/>
      <c r="F205" s="39" t="n"/>
      <c r="G205" s="36" t="n"/>
      <c r="H205" s="40" t="n"/>
      <c r="I205" s="40" t="n"/>
      <c r="J205" s="41">
        <f>IF(ISNUMBER(H205),H205,IF(AND(D205="労務費",TRIM(E205)&lt;&gt;""),IFERROR(INDEX('設定'!$G$12:$G$31,MATCH(TRIM(E205),'設定'!$J$12:$J$31,0)),""),""))</f>
        <v/>
      </c>
      <c r="K205" s="30">
        <f>IF(AND(ISNUMBER(F205),ISNUMBER(J205)),ROUND(F205*J205,0),IF(ISNUMBER(I205),I205,""))</f>
        <v/>
      </c>
      <c r="L205" s="33" t="n"/>
      <c r="M205" s="34">
        <f>IF(COUNTA(A205:B205,D205:I205,L205)=0,"",IF(B205="","案件番号がありません",IF(ISNA(MATCH(B205,'案件'!$A$6:$A$105,0)),"案件シートに無い番号です",IF(NOT(OR(D205="材料費",D205="労務費",D205="外注費",D205="経費")),"費目を4つから選んでください",IF(K205="",IF(AND(ISNUMBER(F205),NOT(ISNUMBER(J205))),IF(D205="労務費","単価がありません（設定の作業者名と同じ書き方に）","単価がありません"),IF(AND(ISNUMBER(J205),NOT(ISNUMBER(F205))),"数量がありません","金額がありません")),IF(NOT(ISNUMBER(A205)),"日付がありません（月別集計に入りません）",IF(AND(ISNUMBER(F205),ISNUMBER(J205),ISNUMBER(I205)),"数量×単価を使いました（金額の欄は使っていません）","")))))))</f>
        <v/>
      </c>
      <c r="N205" s="91">
        <f>IF(AND(B205&lt;&gt;"",B205='案件カード'!$C$3),COUNTIF($B$5:B205,'案件カード'!$C$3),"")</f>
        <v/>
      </c>
      <c r="O205" s="91">
        <f>IF(ISNUMBER(K205),IF(B205="",K205,IF(AND(ISNUMBER(MATCH(B205,'案件'!$A$6:$A$105,0)),OR(D205="材料費",D205="労務費",D205="外注費",D205="経費")),0,K205)),0)</f>
        <v/>
      </c>
    </row>
    <row r="206" ht="16" customHeight="1">
      <c r="A206" s="35" t="n"/>
      <c r="B206" s="36" t="n"/>
      <c r="C206" s="37">
        <f>IF(B206="","",IFERROR(INDEX('案件'!$B$6:$B$105,MATCH(B206,'案件'!$A$6:$A$105,0))&amp;"","（案件シートに無い番号）"))</f>
        <v/>
      </c>
      <c r="D206" s="36" t="n"/>
      <c r="E206" s="38" t="n"/>
      <c r="F206" s="39" t="n"/>
      <c r="G206" s="36" t="n"/>
      <c r="H206" s="40" t="n"/>
      <c r="I206" s="40" t="n"/>
      <c r="J206" s="41">
        <f>IF(ISNUMBER(H206),H206,IF(AND(D206="労務費",TRIM(E206)&lt;&gt;""),IFERROR(INDEX('設定'!$G$12:$G$31,MATCH(TRIM(E206),'設定'!$J$12:$J$31,0)),""),""))</f>
        <v/>
      </c>
      <c r="K206" s="30">
        <f>IF(AND(ISNUMBER(F206),ISNUMBER(J206)),ROUND(F206*J206,0),IF(ISNUMBER(I206),I206,""))</f>
        <v/>
      </c>
      <c r="L206" s="33" t="n"/>
      <c r="M206" s="34">
        <f>IF(COUNTA(A206:B206,D206:I206,L206)=0,"",IF(B206="","案件番号がありません",IF(ISNA(MATCH(B206,'案件'!$A$6:$A$105,0)),"案件シートに無い番号です",IF(NOT(OR(D206="材料費",D206="労務費",D206="外注費",D206="経費")),"費目を4つから選んでください",IF(K206="",IF(AND(ISNUMBER(F206),NOT(ISNUMBER(J206))),IF(D206="労務費","単価がありません（設定の作業者名と同じ書き方に）","単価がありません"),IF(AND(ISNUMBER(J206),NOT(ISNUMBER(F206))),"数量がありません","金額がありません")),IF(NOT(ISNUMBER(A206)),"日付がありません（月別集計に入りません）",IF(AND(ISNUMBER(F206),ISNUMBER(J206),ISNUMBER(I206)),"数量×単価を使いました（金額の欄は使っていません）","")))))))</f>
        <v/>
      </c>
      <c r="N206" s="91">
        <f>IF(AND(B206&lt;&gt;"",B206='案件カード'!$C$3),COUNTIF($B$5:B206,'案件カード'!$C$3),"")</f>
        <v/>
      </c>
      <c r="O206" s="91">
        <f>IF(ISNUMBER(K206),IF(B206="",K206,IF(AND(ISNUMBER(MATCH(B206,'案件'!$A$6:$A$105,0)),OR(D206="材料費",D206="労務費",D206="外注費",D206="経費")),0,K206)),0)</f>
        <v/>
      </c>
    </row>
    <row r="207" ht="16" customHeight="1">
      <c r="A207" s="35" t="n"/>
      <c r="B207" s="36" t="n"/>
      <c r="C207" s="37">
        <f>IF(B207="","",IFERROR(INDEX('案件'!$B$6:$B$105,MATCH(B207,'案件'!$A$6:$A$105,0))&amp;"","（案件シートに無い番号）"))</f>
        <v/>
      </c>
      <c r="D207" s="36" t="n"/>
      <c r="E207" s="38" t="n"/>
      <c r="F207" s="39" t="n"/>
      <c r="G207" s="36" t="n"/>
      <c r="H207" s="40" t="n"/>
      <c r="I207" s="40" t="n"/>
      <c r="J207" s="41">
        <f>IF(ISNUMBER(H207),H207,IF(AND(D207="労務費",TRIM(E207)&lt;&gt;""),IFERROR(INDEX('設定'!$G$12:$G$31,MATCH(TRIM(E207),'設定'!$J$12:$J$31,0)),""),""))</f>
        <v/>
      </c>
      <c r="K207" s="30">
        <f>IF(AND(ISNUMBER(F207),ISNUMBER(J207)),ROUND(F207*J207,0),IF(ISNUMBER(I207),I207,""))</f>
        <v/>
      </c>
      <c r="L207" s="33" t="n"/>
      <c r="M207" s="34">
        <f>IF(COUNTA(A207:B207,D207:I207,L207)=0,"",IF(B207="","案件番号がありません",IF(ISNA(MATCH(B207,'案件'!$A$6:$A$105,0)),"案件シートに無い番号です",IF(NOT(OR(D207="材料費",D207="労務費",D207="外注費",D207="経費")),"費目を4つから選んでください",IF(K207="",IF(AND(ISNUMBER(F207),NOT(ISNUMBER(J207))),IF(D207="労務費","単価がありません（設定の作業者名と同じ書き方に）","単価がありません"),IF(AND(ISNUMBER(J207),NOT(ISNUMBER(F207))),"数量がありません","金額がありません")),IF(NOT(ISNUMBER(A207)),"日付がありません（月別集計に入りません）",IF(AND(ISNUMBER(F207),ISNUMBER(J207),ISNUMBER(I207)),"数量×単価を使いました（金額の欄は使っていません）","")))))))</f>
        <v/>
      </c>
      <c r="N207" s="91">
        <f>IF(AND(B207&lt;&gt;"",B207='案件カード'!$C$3),COUNTIF($B$5:B207,'案件カード'!$C$3),"")</f>
        <v/>
      </c>
      <c r="O207" s="91">
        <f>IF(ISNUMBER(K207),IF(B207="",K207,IF(AND(ISNUMBER(MATCH(B207,'案件'!$A$6:$A$105,0)),OR(D207="材料費",D207="労務費",D207="外注費",D207="経費")),0,K207)),0)</f>
        <v/>
      </c>
    </row>
    <row r="208" ht="16" customHeight="1">
      <c r="A208" s="35" t="n"/>
      <c r="B208" s="36" t="n"/>
      <c r="C208" s="37">
        <f>IF(B208="","",IFERROR(INDEX('案件'!$B$6:$B$105,MATCH(B208,'案件'!$A$6:$A$105,0))&amp;"","（案件シートに無い番号）"))</f>
        <v/>
      </c>
      <c r="D208" s="36" t="n"/>
      <c r="E208" s="38" t="n"/>
      <c r="F208" s="39" t="n"/>
      <c r="G208" s="36" t="n"/>
      <c r="H208" s="40" t="n"/>
      <c r="I208" s="40" t="n"/>
      <c r="J208" s="41">
        <f>IF(ISNUMBER(H208),H208,IF(AND(D208="労務費",TRIM(E208)&lt;&gt;""),IFERROR(INDEX('設定'!$G$12:$G$31,MATCH(TRIM(E208),'設定'!$J$12:$J$31,0)),""),""))</f>
        <v/>
      </c>
      <c r="K208" s="30">
        <f>IF(AND(ISNUMBER(F208),ISNUMBER(J208)),ROUND(F208*J208,0),IF(ISNUMBER(I208),I208,""))</f>
        <v/>
      </c>
      <c r="L208" s="33" t="n"/>
      <c r="M208" s="34">
        <f>IF(COUNTA(A208:B208,D208:I208,L208)=0,"",IF(B208="","案件番号がありません",IF(ISNA(MATCH(B208,'案件'!$A$6:$A$105,0)),"案件シートに無い番号です",IF(NOT(OR(D208="材料費",D208="労務費",D208="外注費",D208="経費")),"費目を4つから選んでください",IF(K208="",IF(AND(ISNUMBER(F208),NOT(ISNUMBER(J208))),IF(D208="労務費","単価がありません（設定の作業者名と同じ書き方に）","単価がありません"),IF(AND(ISNUMBER(J208),NOT(ISNUMBER(F208))),"数量がありません","金額がありません")),IF(NOT(ISNUMBER(A208)),"日付がありません（月別集計に入りません）",IF(AND(ISNUMBER(F208),ISNUMBER(J208),ISNUMBER(I208)),"数量×単価を使いました（金額の欄は使っていません）","")))))))</f>
        <v/>
      </c>
      <c r="N208" s="91">
        <f>IF(AND(B208&lt;&gt;"",B208='案件カード'!$C$3),COUNTIF($B$5:B208,'案件カード'!$C$3),"")</f>
        <v/>
      </c>
      <c r="O208" s="91">
        <f>IF(ISNUMBER(K208),IF(B208="",K208,IF(AND(ISNUMBER(MATCH(B208,'案件'!$A$6:$A$105,0)),OR(D208="材料費",D208="労務費",D208="外注費",D208="経費")),0,K208)),0)</f>
        <v/>
      </c>
    </row>
    <row r="209" ht="16" customHeight="1">
      <c r="A209" s="35" t="n"/>
      <c r="B209" s="36" t="n"/>
      <c r="C209" s="37">
        <f>IF(B209="","",IFERROR(INDEX('案件'!$B$6:$B$105,MATCH(B209,'案件'!$A$6:$A$105,0))&amp;"","（案件シートに無い番号）"))</f>
        <v/>
      </c>
      <c r="D209" s="36" t="n"/>
      <c r="E209" s="38" t="n"/>
      <c r="F209" s="39" t="n"/>
      <c r="G209" s="36" t="n"/>
      <c r="H209" s="40" t="n"/>
      <c r="I209" s="40" t="n"/>
      <c r="J209" s="41">
        <f>IF(ISNUMBER(H209),H209,IF(AND(D209="労務費",TRIM(E209)&lt;&gt;""),IFERROR(INDEX('設定'!$G$12:$G$31,MATCH(TRIM(E209),'設定'!$J$12:$J$31,0)),""),""))</f>
        <v/>
      </c>
      <c r="K209" s="30">
        <f>IF(AND(ISNUMBER(F209),ISNUMBER(J209)),ROUND(F209*J209,0),IF(ISNUMBER(I209),I209,""))</f>
        <v/>
      </c>
      <c r="L209" s="33" t="n"/>
      <c r="M209" s="34">
        <f>IF(COUNTA(A209:B209,D209:I209,L209)=0,"",IF(B209="","案件番号がありません",IF(ISNA(MATCH(B209,'案件'!$A$6:$A$105,0)),"案件シートに無い番号です",IF(NOT(OR(D209="材料費",D209="労務費",D209="外注費",D209="経費")),"費目を4つから選んでください",IF(K209="",IF(AND(ISNUMBER(F209),NOT(ISNUMBER(J209))),IF(D209="労務費","単価がありません（設定の作業者名と同じ書き方に）","単価がありません"),IF(AND(ISNUMBER(J209),NOT(ISNUMBER(F209))),"数量がありません","金額がありません")),IF(NOT(ISNUMBER(A209)),"日付がありません（月別集計に入りません）",IF(AND(ISNUMBER(F209),ISNUMBER(J209),ISNUMBER(I209)),"数量×単価を使いました（金額の欄は使っていません）","")))))))</f>
        <v/>
      </c>
      <c r="N209" s="91">
        <f>IF(AND(B209&lt;&gt;"",B209='案件カード'!$C$3),COUNTIF($B$5:B209,'案件カード'!$C$3),"")</f>
        <v/>
      </c>
      <c r="O209" s="91">
        <f>IF(ISNUMBER(K209),IF(B209="",K209,IF(AND(ISNUMBER(MATCH(B209,'案件'!$A$6:$A$105,0)),OR(D209="材料費",D209="労務費",D209="外注費",D209="経費")),0,K209)),0)</f>
        <v/>
      </c>
    </row>
    <row r="210" ht="16" customHeight="1">
      <c r="A210" s="35" t="n"/>
      <c r="B210" s="36" t="n"/>
      <c r="C210" s="37">
        <f>IF(B210="","",IFERROR(INDEX('案件'!$B$6:$B$105,MATCH(B210,'案件'!$A$6:$A$105,0))&amp;"","（案件シートに無い番号）"))</f>
        <v/>
      </c>
      <c r="D210" s="36" t="n"/>
      <c r="E210" s="38" t="n"/>
      <c r="F210" s="39" t="n"/>
      <c r="G210" s="36" t="n"/>
      <c r="H210" s="40" t="n"/>
      <c r="I210" s="40" t="n"/>
      <c r="J210" s="41">
        <f>IF(ISNUMBER(H210),H210,IF(AND(D210="労務費",TRIM(E210)&lt;&gt;""),IFERROR(INDEX('設定'!$G$12:$G$31,MATCH(TRIM(E210),'設定'!$J$12:$J$31,0)),""),""))</f>
        <v/>
      </c>
      <c r="K210" s="30">
        <f>IF(AND(ISNUMBER(F210),ISNUMBER(J210)),ROUND(F210*J210,0),IF(ISNUMBER(I210),I210,""))</f>
        <v/>
      </c>
      <c r="L210" s="33" t="n"/>
      <c r="M210" s="34">
        <f>IF(COUNTA(A210:B210,D210:I210,L210)=0,"",IF(B210="","案件番号がありません",IF(ISNA(MATCH(B210,'案件'!$A$6:$A$105,0)),"案件シートに無い番号です",IF(NOT(OR(D210="材料費",D210="労務費",D210="外注費",D210="経費")),"費目を4つから選んでください",IF(K210="",IF(AND(ISNUMBER(F210),NOT(ISNUMBER(J210))),IF(D210="労務費","単価がありません（設定の作業者名と同じ書き方に）","単価がありません"),IF(AND(ISNUMBER(J210),NOT(ISNUMBER(F210))),"数量がありません","金額がありません")),IF(NOT(ISNUMBER(A210)),"日付がありません（月別集計に入りません）",IF(AND(ISNUMBER(F210),ISNUMBER(J210),ISNUMBER(I210)),"数量×単価を使いました（金額の欄は使っていません）","")))))))</f>
        <v/>
      </c>
      <c r="N210" s="91">
        <f>IF(AND(B210&lt;&gt;"",B210='案件カード'!$C$3),COUNTIF($B$5:B210,'案件カード'!$C$3),"")</f>
        <v/>
      </c>
      <c r="O210" s="91">
        <f>IF(ISNUMBER(K210),IF(B210="",K210,IF(AND(ISNUMBER(MATCH(B210,'案件'!$A$6:$A$105,0)),OR(D210="材料費",D210="労務費",D210="外注費",D210="経費")),0,K210)),0)</f>
        <v/>
      </c>
    </row>
    <row r="211" ht="16" customHeight="1">
      <c r="A211" s="35" t="n"/>
      <c r="B211" s="36" t="n"/>
      <c r="C211" s="37">
        <f>IF(B211="","",IFERROR(INDEX('案件'!$B$6:$B$105,MATCH(B211,'案件'!$A$6:$A$105,0))&amp;"","（案件シートに無い番号）"))</f>
        <v/>
      </c>
      <c r="D211" s="36" t="n"/>
      <c r="E211" s="38" t="n"/>
      <c r="F211" s="39" t="n"/>
      <c r="G211" s="36" t="n"/>
      <c r="H211" s="40" t="n"/>
      <c r="I211" s="40" t="n"/>
      <c r="J211" s="41">
        <f>IF(ISNUMBER(H211),H211,IF(AND(D211="労務費",TRIM(E211)&lt;&gt;""),IFERROR(INDEX('設定'!$G$12:$G$31,MATCH(TRIM(E211),'設定'!$J$12:$J$31,0)),""),""))</f>
        <v/>
      </c>
      <c r="K211" s="30">
        <f>IF(AND(ISNUMBER(F211),ISNUMBER(J211)),ROUND(F211*J211,0),IF(ISNUMBER(I211),I211,""))</f>
        <v/>
      </c>
      <c r="L211" s="33" t="n"/>
      <c r="M211" s="34">
        <f>IF(COUNTA(A211:B211,D211:I211,L211)=0,"",IF(B211="","案件番号がありません",IF(ISNA(MATCH(B211,'案件'!$A$6:$A$105,0)),"案件シートに無い番号です",IF(NOT(OR(D211="材料費",D211="労務費",D211="外注費",D211="経費")),"費目を4つから選んでください",IF(K211="",IF(AND(ISNUMBER(F211),NOT(ISNUMBER(J211))),IF(D211="労務費","単価がありません（設定の作業者名と同じ書き方に）","単価がありません"),IF(AND(ISNUMBER(J211),NOT(ISNUMBER(F211))),"数量がありません","金額がありません")),IF(NOT(ISNUMBER(A211)),"日付がありません（月別集計に入りません）",IF(AND(ISNUMBER(F211),ISNUMBER(J211),ISNUMBER(I211)),"数量×単価を使いました（金額の欄は使っていません）","")))))))</f>
        <v/>
      </c>
      <c r="N211" s="91">
        <f>IF(AND(B211&lt;&gt;"",B211='案件カード'!$C$3),COUNTIF($B$5:B211,'案件カード'!$C$3),"")</f>
        <v/>
      </c>
      <c r="O211" s="91">
        <f>IF(ISNUMBER(K211),IF(B211="",K211,IF(AND(ISNUMBER(MATCH(B211,'案件'!$A$6:$A$105,0)),OR(D211="材料費",D211="労務費",D211="外注費",D211="経費")),0,K211)),0)</f>
        <v/>
      </c>
    </row>
    <row r="212" ht="16" customHeight="1">
      <c r="A212" s="35" t="n"/>
      <c r="B212" s="36" t="n"/>
      <c r="C212" s="37">
        <f>IF(B212="","",IFERROR(INDEX('案件'!$B$6:$B$105,MATCH(B212,'案件'!$A$6:$A$105,0))&amp;"","（案件シートに無い番号）"))</f>
        <v/>
      </c>
      <c r="D212" s="36" t="n"/>
      <c r="E212" s="38" t="n"/>
      <c r="F212" s="39" t="n"/>
      <c r="G212" s="36" t="n"/>
      <c r="H212" s="40" t="n"/>
      <c r="I212" s="40" t="n"/>
      <c r="J212" s="41">
        <f>IF(ISNUMBER(H212),H212,IF(AND(D212="労務費",TRIM(E212)&lt;&gt;""),IFERROR(INDEX('設定'!$G$12:$G$31,MATCH(TRIM(E212),'設定'!$J$12:$J$31,0)),""),""))</f>
        <v/>
      </c>
      <c r="K212" s="30">
        <f>IF(AND(ISNUMBER(F212),ISNUMBER(J212)),ROUND(F212*J212,0),IF(ISNUMBER(I212),I212,""))</f>
        <v/>
      </c>
      <c r="L212" s="33" t="n"/>
      <c r="M212" s="34">
        <f>IF(COUNTA(A212:B212,D212:I212,L212)=0,"",IF(B212="","案件番号がありません",IF(ISNA(MATCH(B212,'案件'!$A$6:$A$105,0)),"案件シートに無い番号です",IF(NOT(OR(D212="材料費",D212="労務費",D212="外注費",D212="経費")),"費目を4つから選んでください",IF(K212="",IF(AND(ISNUMBER(F212),NOT(ISNUMBER(J212))),IF(D212="労務費","単価がありません（設定の作業者名と同じ書き方に）","単価がありません"),IF(AND(ISNUMBER(J212),NOT(ISNUMBER(F212))),"数量がありません","金額がありません")),IF(NOT(ISNUMBER(A212)),"日付がありません（月別集計に入りません）",IF(AND(ISNUMBER(F212),ISNUMBER(J212),ISNUMBER(I212)),"数量×単価を使いました（金額の欄は使っていません）","")))))))</f>
        <v/>
      </c>
      <c r="N212" s="91">
        <f>IF(AND(B212&lt;&gt;"",B212='案件カード'!$C$3),COUNTIF($B$5:B212,'案件カード'!$C$3),"")</f>
        <v/>
      </c>
      <c r="O212" s="91">
        <f>IF(ISNUMBER(K212),IF(B212="",K212,IF(AND(ISNUMBER(MATCH(B212,'案件'!$A$6:$A$105,0)),OR(D212="材料費",D212="労務費",D212="外注費",D212="経費")),0,K212)),0)</f>
        <v/>
      </c>
    </row>
    <row r="213" ht="16" customHeight="1">
      <c r="A213" s="35" t="n"/>
      <c r="B213" s="36" t="n"/>
      <c r="C213" s="37">
        <f>IF(B213="","",IFERROR(INDEX('案件'!$B$6:$B$105,MATCH(B213,'案件'!$A$6:$A$105,0))&amp;"","（案件シートに無い番号）"))</f>
        <v/>
      </c>
      <c r="D213" s="36" t="n"/>
      <c r="E213" s="38" t="n"/>
      <c r="F213" s="39" t="n"/>
      <c r="G213" s="36" t="n"/>
      <c r="H213" s="40" t="n"/>
      <c r="I213" s="40" t="n"/>
      <c r="J213" s="41">
        <f>IF(ISNUMBER(H213),H213,IF(AND(D213="労務費",TRIM(E213)&lt;&gt;""),IFERROR(INDEX('設定'!$G$12:$G$31,MATCH(TRIM(E213),'設定'!$J$12:$J$31,0)),""),""))</f>
        <v/>
      </c>
      <c r="K213" s="30">
        <f>IF(AND(ISNUMBER(F213),ISNUMBER(J213)),ROUND(F213*J213,0),IF(ISNUMBER(I213),I213,""))</f>
        <v/>
      </c>
      <c r="L213" s="33" t="n"/>
      <c r="M213" s="34">
        <f>IF(COUNTA(A213:B213,D213:I213,L213)=0,"",IF(B213="","案件番号がありません",IF(ISNA(MATCH(B213,'案件'!$A$6:$A$105,0)),"案件シートに無い番号です",IF(NOT(OR(D213="材料費",D213="労務費",D213="外注費",D213="経費")),"費目を4つから選んでください",IF(K213="",IF(AND(ISNUMBER(F213),NOT(ISNUMBER(J213))),IF(D213="労務費","単価がありません（設定の作業者名と同じ書き方に）","単価がありません"),IF(AND(ISNUMBER(J213),NOT(ISNUMBER(F213))),"数量がありません","金額がありません")),IF(NOT(ISNUMBER(A213)),"日付がありません（月別集計に入りません）",IF(AND(ISNUMBER(F213),ISNUMBER(J213),ISNUMBER(I213)),"数量×単価を使いました（金額の欄は使っていません）","")))))))</f>
        <v/>
      </c>
      <c r="N213" s="91">
        <f>IF(AND(B213&lt;&gt;"",B213='案件カード'!$C$3),COUNTIF($B$5:B213,'案件カード'!$C$3),"")</f>
        <v/>
      </c>
      <c r="O213" s="91">
        <f>IF(ISNUMBER(K213),IF(B213="",K213,IF(AND(ISNUMBER(MATCH(B213,'案件'!$A$6:$A$105,0)),OR(D213="材料費",D213="労務費",D213="外注費",D213="経費")),0,K213)),0)</f>
        <v/>
      </c>
    </row>
    <row r="214" ht="16" customHeight="1">
      <c r="A214" s="35" t="n"/>
      <c r="B214" s="36" t="n"/>
      <c r="C214" s="37">
        <f>IF(B214="","",IFERROR(INDEX('案件'!$B$6:$B$105,MATCH(B214,'案件'!$A$6:$A$105,0))&amp;"","（案件シートに無い番号）"))</f>
        <v/>
      </c>
      <c r="D214" s="36" t="n"/>
      <c r="E214" s="38" t="n"/>
      <c r="F214" s="39" t="n"/>
      <c r="G214" s="36" t="n"/>
      <c r="H214" s="40" t="n"/>
      <c r="I214" s="40" t="n"/>
      <c r="J214" s="41">
        <f>IF(ISNUMBER(H214),H214,IF(AND(D214="労務費",TRIM(E214)&lt;&gt;""),IFERROR(INDEX('設定'!$G$12:$G$31,MATCH(TRIM(E214),'設定'!$J$12:$J$31,0)),""),""))</f>
        <v/>
      </c>
      <c r="K214" s="30">
        <f>IF(AND(ISNUMBER(F214),ISNUMBER(J214)),ROUND(F214*J214,0),IF(ISNUMBER(I214),I214,""))</f>
        <v/>
      </c>
      <c r="L214" s="33" t="n"/>
      <c r="M214" s="34">
        <f>IF(COUNTA(A214:B214,D214:I214,L214)=0,"",IF(B214="","案件番号がありません",IF(ISNA(MATCH(B214,'案件'!$A$6:$A$105,0)),"案件シートに無い番号です",IF(NOT(OR(D214="材料費",D214="労務費",D214="外注費",D214="経費")),"費目を4つから選んでください",IF(K214="",IF(AND(ISNUMBER(F214),NOT(ISNUMBER(J214))),IF(D214="労務費","単価がありません（設定の作業者名と同じ書き方に）","単価がありません"),IF(AND(ISNUMBER(J214),NOT(ISNUMBER(F214))),"数量がありません","金額がありません")),IF(NOT(ISNUMBER(A214)),"日付がありません（月別集計に入りません）",IF(AND(ISNUMBER(F214),ISNUMBER(J214),ISNUMBER(I214)),"数量×単価を使いました（金額の欄は使っていません）","")))))))</f>
        <v/>
      </c>
      <c r="N214" s="91">
        <f>IF(AND(B214&lt;&gt;"",B214='案件カード'!$C$3),COUNTIF($B$5:B214,'案件カード'!$C$3),"")</f>
        <v/>
      </c>
      <c r="O214" s="91">
        <f>IF(ISNUMBER(K214),IF(B214="",K214,IF(AND(ISNUMBER(MATCH(B214,'案件'!$A$6:$A$105,0)),OR(D214="材料費",D214="労務費",D214="外注費",D214="経費")),0,K214)),0)</f>
        <v/>
      </c>
    </row>
    <row r="215" ht="16" customHeight="1">
      <c r="A215" s="35" t="n"/>
      <c r="B215" s="36" t="n"/>
      <c r="C215" s="37">
        <f>IF(B215="","",IFERROR(INDEX('案件'!$B$6:$B$105,MATCH(B215,'案件'!$A$6:$A$105,0))&amp;"","（案件シートに無い番号）"))</f>
        <v/>
      </c>
      <c r="D215" s="36" t="n"/>
      <c r="E215" s="38" t="n"/>
      <c r="F215" s="39" t="n"/>
      <c r="G215" s="36" t="n"/>
      <c r="H215" s="40" t="n"/>
      <c r="I215" s="40" t="n"/>
      <c r="J215" s="41">
        <f>IF(ISNUMBER(H215),H215,IF(AND(D215="労務費",TRIM(E215)&lt;&gt;""),IFERROR(INDEX('設定'!$G$12:$G$31,MATCH(TRIM(E215),'設定'!$J$12:$J$31,0)),""),""))</f>
        <v/>
      </c>
      <c r="K215" s="30">
        <f>IF(AND(ISNUMBER(F215),ISNUMBER(J215)),ROUND(F215*J215,0),IF(ISNUMBER(I215),I215,""))</f>
        <v/>
      </c>
      <c r="L215" s="33" t="n"/>
      <c r="M215" s="34">
        <f>IF(COUNTA(A215:B215,D215:I215,L215)=0,"",IF(B215="","案件番号がありません",IF(ISNA(MATCH(B215,'案件'!$A$6:$A$105,0)),"案件シートに無い番号です",IF(NOT(OR(D215="材料費",D215="労務費",D215="外注費",D215="経費")),"費目を4つから選んでください",IF(K215="",IF(AND(ISNUMBER(F215),NOT(ISNUMBER(J215))),IF(D215="労務費","単価がありません（設定の作業者名と同じ書き方に）","単価がありません"),IF(AND(ISNUMBER(J215),NOT(ISNUMBER(F215))),"数量がありません","金額がありません")),IF(NOT(ISNUMBER(A215)),"日付がありません（月別集計に入りません）",IF(AND(ISNUMBER(F215),ISNUMBER(J215),ISNUMBER(I215)),"数量×単価を使いました（金額の欄は使っていません）","")))))))</f>
        <v/>
      </c>
      <c r="N215" s="91">
        <f>IF(AND(B215&lt;&gt;"",B215='案件カード'!$C$3),COUNTIF($B$5:B215,'案件カード'!$C$3),"")</f>
        <v/>
      </c>
      <c r="O215" s="91">
        <f>IF(ISNUMBER(K215),IF(B215="",K215,IF(AND(ISNUMBER(MATCH(B215,'案件'!$A$6:$A$105,0)),OR(D215="材料費",D215="労務費",D215="外注費",D215="経費")),0,K215)),0)</f>
        <v/>
      </c>
    </row>
    <row r="216" ht="16" customHeight="1">
      <c r="A216" s="35" t="n"/>
      <c r="B216" s="36" t="n"/>
      <c r="C216" s="37">
        <f>IF(B216="","",IFERROR(INDEX('案件'!$B$6:$B$105,MATCH(B216,'案件'!$A$6:$A$105,0))&amp;"","（案件シートに無い番号）"))</f>
        <v/>
      </c>
      <c r="D216" s="36" t="n"/>
      <c r="E216" s="38" t="n"/>
      <c r="F216" s="39" t="n"/>
      <c r="G216" s="36" t="n"/>
      <c r="H216" s="40" t="n"/>
      <c r="I216" s="40" t="n"/>
      <c r="J216" s="41">
        <f>IF(ISNUMBER(H216),H216,IF(AND(D216="労務費",TRIM(E216)&lt;&gt;""),IFERROR(INDEX('設定'!$G$12:$G$31,MATCH(TRIM(E216),'設定'!$J$12:$J$31,0)),""),""))</f>
        <v/>
      </c>
      <c r="K216" s="30">
        <f>IF(AND(ISNUMBER(F216),ISNUMBER(J216)),ROUND(F216*J216,0),IF(ISNUMBER(I216),I216,""))</f>
        <v/>
      </c>
      <c r="L216" s="33" t="n"/>
      <c r="M216" s="34">
        <f>IF(COUNTA(A216:B216,D216:I216,L216)=0,"",IF(B216="","案件番号がありません",IF(ISNA(MATCH(B216,'案件'!$A$6:$A$105,0)),"案件シートに無い番号です",IF(NOT(OR(D216="材料費",D216="労務費",D216="外注費",D216="経費")),"費目を4つから選んでください",IF(K216="",IF(AND(ISNUMBER(F216),NOT(ISNUMBER(J216))),IF(D216="労務費","単価がありません（設定の作業者名と同じ書き方に）","単価がありません"),IF(AND(ISNUMBER(J216),NOT(ISNUMBER(F216))),"数量がありません","金額がありません")),IF(NOT(ISNUMBER(A216)),"日付がありません（月別集計に入りません）",IF(AND(ISNUMBER(F216),ISNUMBER(J216),ISNUMBER(I216)),"数量×単価を使いました（金額の欄は使っていません）","")))))))</f>
        <v/>
      </c>
      <c r="N216" s="91">
        <f>IF(AND(B216&lt;&gt;"",B216='案件カード'!$C$3),COUNTIF($B$5:B216,'案件カード'!$C$3),"")</f>
        <v/>
      </c>
      <c r="O216" s="91">
        <f>IF(ISNUMBER(K216),IF(B216="",K216,IF(AND(ISNUMBER(MATCH(B216,'案件'!$A$6:$A$105,0)),OR(D216="材料費",D216="労務費",D216="外注費",D216="経費")),0,K216)),0)</f>
        <v/>
      </c>
    </row>
    <row r="217" ht="16" customHeight="1">
      <c r="A217" s="35" t="n"/>
      <c r="B217" s="36" t="n"/>
      <c r="C217" s="37">
        <f>IF(B217="","",IFERROR(INDEX('案件'!$B$6:$B$105,MATCH(B217,'案件'!$A$6:$A$105,0))&amp;"","（案件シートに無い番号）"))</f>
        <v/>
      </c>
      <c r="D217" s="36" t="n"/>
      <c r="E217" s="38" t="n"/>
      <c r="F217" s="39" t="n"/>
      <c r="G217" s="36" t="n"/>
      <c r="H217" s="40" t="n"/>
      <c r="I217" s="40" t="n"/>
      <c r="J217" s="41">
        <f>IF(ISNUMBER(H217),H217,IF(AND(D217="労務費",TRIM(E217)&lt;&gt;""),IFERROR(INDEX('設定'!$G$12:$G$31,MATCH(TRIM(E217),'設定'!$J$12:$J$31,0)),""),""))</f>
        <v/>
      </c>
      <c r="K217" s="30">
        <f>IF(AND(ISNUMBER(F217),ISNUMBER(J217)),ROUND(F217*J217,0),IF(ISNUMBER(I217),I217,""))</f>
        <v/>
      </c>
      <c r="L217" s="33" t="n"/>
      <c r="M217" s="34">
        <f>IF(COUNTA(A217:B217,D217:I217,L217)=0,"",IF(B217="","案件番号がありません",IF(ISNA(MATCH(B217,'案件'!$A$6:$A$105,0)),"案件シートに無い番号です",IF(NOT(OR(D217="材料費",D217="労務費",D217="外注費",D217="経費")),"費目を4つから選んでください",IF(K217="",IF(AND(ISNUMBER(F217),NOT(ISNUMBER(J217))),IF(D217="労務費","単価がありません（設定の作業者名と同じ書き方に）","単価がありません"),IF(AND(ISNUMBER(J217),NOT(ISNUMBER(F217))),"数量がありません","金額がありません")),IF(NOT(ISNUMBER(A217)),"日付がありません（月別集計に入りません）",IF(AND(ISNUMBER(F217),ISNUMBER(J217),ISNUMBER(I217)),"数量×単価を使いました（金額の欄は使っていません）","")))))))</f>
        <v/>
      </c>
      <c r="N217" s="91">
        <f>IF(AND(B217&lt;&gt;"",B217='案件カード'!$C$3),COUNTIF($B$5:B217,'案件カード'!$C$3),"")</f>
        <v/>
      </c>
      <c r="O217" s="91">
        <f>IF(ISNUMBER(K217),IF(B217="",K217,IF(AND(ISNUMBER(MATCH(B217,'案件'!$A$6:$A$105,0)),OR(D217="材料費",D217="労務費",D217="外注費",D217="経費")),0,K217)),0)</f>
        <v/>
      </c>
    </row>
    <row r="218" ht="16" customHeight="1">
      <c r="A218" s="35" t="n"/>
      <c r="B218" s="36" t="n"/>
      <c r="C218" s="37">
        <f>IF(B218="","",IFERROR(INDEX('案件'!$B$6:$B$105,MATCH(B218,'案件'!$A$6:$A$105,0))&amp;"","（案件シートに無い番号）"))</f>
        <v/>
      </c>
      <c r="D218" s="36" t="n"/>
      <c r="E218" s="38" t="n"/>
      <c r="F218" s="39" t="n"/>
      <c r="G218" s="36" t="n"/>
      <c r="H218" s="40" t="n"/>
      <c r="I218" s="40" t="n"/>
      <c r="J218" s="41">
        <f>IF(ISNUMBER(H218),H218,IF(AND(D218="労務費",TRIM(E218)&lt;&gt;""),IFERROR(INDEX('設定'!$G$12:$G$31,MATCH(TRIM(E218),'設定'!$J$12:$J$31,0)),""),""))</f>
        <v/>
      </c>
      <c r="K218" s="30">
        <f>IF(AND(ISNUMBER(F218),ISNUMBER(J218)),ROUND(F218*J218,0),IF(ISNUMBER(I218),I218,""))</f>
        <v/>
      </c>
      <c r="L218" s="33" t="n"/>
      <c r="M218" s="34">
        <f>IF(COUNTA(A218:B218,D218:I218,L218)=0,"",IF(B218="","案件番号がありません",IF(ISNA(MATCH(B218,'案件'!$A$6:$A$105,0)),"案件シートに無い番号です",IF(NOT(OR(D218="材料費",D218="労務費",D218="外注費",D218="経費")),"費目を4つから選んでください",IF(K218="",IF(AND(ISNUMBER(F218),NOT(ISNUMBER(J218))),IF(D218="労務費","単価がありません（設定の作業者名と同じ書き方に）","単価がありません"),IF(AND(ISNUMBER(J218),NOT(ISNUMBER(F218))),"数量がありません","金額がありません")),IF(NOT(ISNUMBER(A218)),"日付がありません（月別集計に入りません）",IF(AND(ISNUMBER(F218),ISNUMBER(J218),ISNUMBER(I218)),"数量×単価を使いました（金額の欄は使っていません）","")))))))</f>
        <v/>
      </c>
      <c r="N218" s="91">
        <f>IF(AND(B218&lt;&gt;"",B218='案件カード'!$C$3),COUNTIF($B$5:B218,'案件カード'!$C$3),"")</f>
        <v/>
      </c>
      <c r="O218" s="91">
        <f>IF(ISNUMBER(K218),IF(B218="",K218,IF(AND(ISNUMBER(MATCH(B218,'案件'!$A$6:$A$105,0)),OR(D218="材料費",D218="労務費",D218="外注費",D218="経費")),0,K218)),0)</f>
        <v/>
      </c>
    </row>
    <row r="219" ht="16" customHeight="1">
      <c r="A219" s="35" t="n"/>
      <c r="B219" s="36" t="n"/>
      <c r="C219" s="37">
        <f>IF(B219="","",IFERROR(INDEX('案件'!$B$6:$B$105,MATCH(B219,'案件'!$A$6:$A$105,0))&amp;"","（案件シートに無い番号）"))</f>
        <v/>
      </c>
      <c r="D219" s="36" t="n"/>
      <c r="E219" s="38" t="n"/>
      <c r="F219" s="39" t="n"/>
      <c r="G219" s="36" t="n"/>
      <c r="H219" s="40" t="n"/>
      <c r="I219" s="40" t="n"/>
      <c r="J219" s="41">
        <f>IF(ISNUMBER(H219),H219,IF(AND(D219="労務費",TRIM(E219)&lt;&gt;""),IFERROR(INDEX('設定'!$G$12:$G$31,MATCH(TRIM(E219),'設定'!$J$12:$J$31,0)),""),""))</f>
        <v/>
      </c>
      <c r="K219" s="30">
        <f>IF(AND(ISNUMBER(F219),ISNUMBER(J219)),ROUND(F219*J219,0),IF(ISNUMBER(I219),I219,""))</f>
        <v/>
      </c>
      <c r="L219" s="33" t="n"/>
      <c r="M219" s="34">
        <f>IF(COUNTA(A219:B219,D219:I219,L219)=0,"",IF(B219="","案件番号がありません",IF(ISNA(MATCH(B219,'案件'!$A$6:$A$105,0)),"案件シートに無い番号です",IF(NOT(OR(D219="材料費",D219="労務費",D219="外注費",D219="経費")),"費目を4つから選んでください",IF(K219="",IF(AND(ISNUMBER(F219),NOT(ISNUMBER(J219))),IF(D219="労務費","単価がありません（設定の作業者名と同じ書き方に）","単価がありません"),IF(AND(ISNUMBER(J219),NOT(ISNUMBER(F219))),"数量がありません","金額がありません")),IF(NOT(ISNUMBER(A219)),"日付がありません（月別集計に入りません）",IF(AND(ISNUMBER(F219),ISNUMBER(J219),ISNUMBER(I219)),"数量×単価を使いました（金額の欄は使っていません）","")))))))</f>
        <v/>
      </c>
      <c r="N219" s="91">
        <f>IF(AND(B219&lt;&gt;"",B219='案件カード'!$C$3),COUNTIF($B$5:B219,'案件カード'!$C$3),"")</f>
        <v/>
      </c>
      <c r="O219" s="91">
        <f>IF(ISNUMBER(K219),IF(B219="",K219,IF(AND(ISNUMBER(MATCH(B219,'案件'!$A$6:$A$105,0)),OR(D219="材料費",D219="労務費",D219="外注費",D219="経費")),0,K219)),0)</f>
        <v/>
      </c>
    </row>
    <row r="220" ht="16" customHeight="1">
      <c r="A220" s="35" t="n"/>
      <c r="B220" s="36" t="n"/>
      <c r="C220" s="37">
        <f>IF(B220="","",IFERROR(INDEX('案件'!$B$6:$B$105,MATCH(B220,'案件'!$A$6:$A$105,0))&amp;"","（案件シートに無い番号）"))</f>
        <v/>
      </c>
      <c r="D220" s="36" t="n"/>
      <c r="E220" s="38" t="n"/>
      <c r="F220" s="39" t="n"/>
      <c r="G220" s="36" t="n"/>
      <c r="H220" s="40" t="n"/>
      <c r="I220" s="40" t="n"/>
      <c r="J220" s="41">
        <f>IF(ISNUMBER(H220),H220,IF(AND(D220="労務費",TRIM(E220)&lt;&gt;""),IFERROR(INDEX('設定'!$G$12:$G$31,MATCH(TRIM(E220),'設定'!$J$12:$J$31,0)),""),""))</f>
        <v/>
      </c>
      <c r="K220" s="30">
        <f>IF(AND(ISNUMBER(F220),ISNUMBER(J220)),ROUND(F220*J220,0),IF(ISNUMBER(I220),I220,""))</f>
        <v/>
      </c>
      <c r="L220" s="33" t="n"/>
      <c r="M220" s="34">
        <f>IF(COUNTA(A220:B220,D220:I220,L220)=0,"",IF(B220="","案件番号がありません",IF(ISNA(MATCH(B220,'案件'!$A$6:$A$105,0)),"案件シートに無い番号です",IF(NOT(OR(D220="材料費",D220="労務費",D220="外注費",D220="経費")),"費目を4つから選んでください",IF(K220="",IF(AND(ISNUMBER(F220),NOT(ISNUMBER(J220))),IF(D220="労務費","単価がありません（設定の作業者名と同じ書き方に）","単価がありません"),IF(AND(ISNUMBER(J220),NOT(ISNUMBER(F220))),"数量がありません","金額がありません")),IF(NOT(ISNUMBER(A220)),"日付がありません（月別集計に入りません）",IF(AND(ISNUMBER(F220),ISNUMBER(J220),ISNUMBER(I220)),"数量×単価を使いました（金額の欄は使っていません）","")))))))</f>
        <v/>
      </c>
      <c r="N220" s="91">
        <f>IF(AND(B220&lt;&gt;"",B220='案件カード'!$C$3),COUNTIF($B$5:B220,'案件カード'!$C$3),"")</f>
        <v/>
      </c>
      <c r="O220" s="91">
        <f>IF(ISNUMBER(K220),IF(B220="",K220,IF(AND(ISNUMBER(MATCH(B220,'案件'!$A$6:$A$105,0)),OR(D220="材料費",D220="労務費",D220="外注費",D220="経費")),0,K220)),0)</f>
        <v/>
      </c>
    </row>
    <row r="221" ht="16" customHeight="1">
      <c r="A221" s="35" t="n"/>
      <c r="B221" s="36" t="n"/>
      <c r="C221" s="37">
        <f>IF(B221="","",IFERROR(INDEX('案件'!$B$6:$B$105,MATCH(B221,'案件'!$A$6:$A$105,0))&amp;"","（案件シートに無い番号）"))</f>
        <v/>
      </c>
      <c r="D221" s="36" t="n"/>
      <c r="E221" s="38" t="n"/>
      <c r="F221" s="39" t="n"/>
      <c r="G221" s="36" t="n"/>
      <c r="H221" s="40" t="n"/>
      <c r="I221" s="40" t="n"/>
      <c r="J221" s="41">
        <f>IF(ISNUMBER(H221),H221,IF(AND(D221="労務費",TRIM(E221)&lt;&gt;""),IFERROR(INDEX('設定'!$G$12:$G$31,MATCH(TRIM(E221),'設定'!$J$12:$J$31,0)),""),""))</f>
        <v/>
      </c>
      <c r="K221" s="30">
        <f>IF(AND(ISNUMBER(F221),ISNUMBER(J221)),ROUND(F221*J221,0),IF(ISNUMBER(I221),I221,""))</f>
        <v/>
      </c>
      <c r="L221" s="33" t="n"/>
      <c r="M221" s="34">
        <f>IF(COUNTA(A221:B221,D221:I221,L221)=0,"",IF(B221="","案件番号がありません",IF(ISNA(MATCH(B221,'案件'!$A$6:$A$105,0)),"案件シートに無い番号です",IF(NOT(OR(D221="材料費",D221="労務費",D221="外注費",D221="経費")),"費目を4つから選んでください",IF(K221="",IF(AND(ISNUMBER(F221),NOT(ISNUMBER(J221))),IF(D221="労務費","単価がありません（設定の作業者名と同じ書き方に）","単価がありません"),IF(AND(ISNUMBER(J221),NOT(ISNUMBER(F221))),"数量がありません","金額がありません")),IF(NOT(ISNUMBER(A221)),"日付がありません（月別集計に入りません）",IF(AND(ISNUMBER(F221),ISNUMBER(J221),ISNUMBER(I221)),"数量×単価を使いました（金額の欄は使っていません）","")))))))</f>
        <v/>
      </c>
      <c r="N221" s="91">
        <f>IF(AND(B221&lt;&gt;"",B221='案件カード'!$C$3),COUNTIF($B$5:B221,'案件カード'!$C$3),"")</f>
        <v/>
      </c>
      <c r="O221" s="91">
        <f>IF(ISNUMBER(K221),IF(B221="",K221,IF(AND(ISNUMBER(MATCH(B221,'案件'!$A$6:$A$105,0)),OR(D221="材料費",D221="労務費",D221="外注費",D221="経費")),0,K221)),0)</f>
        <v/>
      </c>
    </row>
    <row r="222" ht="16" customHeight="1">
      <c r="A222" s="35" t="n"/>
      <c r="B222" s="36" t="n"/>
      <c r="C222" s="37">
        <f>IF(B222="","",IFERROR(INDEX('案件'!$B$6:$B$105,MATCH(B222,'案件'!$A$6:$A$105,0))&amp;"","（案件シートに無い番号）"))</f>
        <v/>
      </c>
      <c r="D222" s="36" t="n"/>
      <c r="E222" s="38" t="n"/>
      <c r="F222" s="39" t="n"/>
      <c r="G222" s="36" t="n"/>
      <c r="H222" s="40" t="n"/>
      <c r="I222" s="40" t="n"/>
      <c r="J222" s="41">
        <f>IF(ISNUMBER(H222),H222,IF(AND(D222="労務費",TRIM(E222)&lt;&gt;""),IFERROR(INDEX('設定'!$G$12:$G$31,MATCH(TRIM(E222),'設定'!$J$12:$J$31,0)),""),""))</f>
        <v/>
      </c>
      <c r="K222" s="30">
        <f>IF(AND(ISNUMBER(F222),ISNUMBER(J222)),ROUND(F222*J222,0),IF(ISNUMBER(I222),I222,""))</f>
        <v/>
      </c>
      <c r="L222" s="33" t="n"/>
      <c r="M222" s="34">
        <f>IF(COUNTA(A222:B222,D222:I222,L222)=0,"",IF(B222="","案件番号がありません",IF(ISNA(MATCH(B222,'案件'!$A$6:$A$105,0)),"案件シートに無い番号です",IF(NOT(OR(D222="材料費",D222="労務費",D222="外注費",D222="経費")),"費目を4つから選んでください",IF(K222="",IF(AND(ISNUMBER(F222),NOT(ISNUMBER(J222))),IF(D222="労務費","単価がありません（設定の作業者名と同じ書き方に）","単価がありません"),IF(AND(ISNUMBER(J222),NOT(ISNUMBER(F222))),"数量がありません","金額がありません")),IF(NOT(ISNUMBER(A222)),"日付がありません（月別集計に入りません）",IF(AND(ISNUMBER(F222),ISNUMBER(J222),ISNUMBER(I222)),"数量×単価を使いました（金額の欄は使っていません）","")))))))</f>
        <v/>
      </c>
      <c r="N222" s="91">
        <f>IF(AND(B222&lt;&gt;"",B222='案件カード'!$C$3),COUNTIF($B$5:B222,'案件カード'!$C$3),"")</f>
        <v/>
      </c>
      <c r="O222" s="91">
        <f>IF(ISNUMBER(K222),IF(B222="",K222,IF(AND(ISNUMBER(MATCH(B222,'案件'!$A$6:$A$105,0)),OR(D222="材料費",D222="労務費",D222="外注費",D222="経費")),0,K222)),0)</f>
        <v/>
      </c>
    </row>
    <row r="223" ht="16" customHeight="1">
      <c r="A223" s="35" t="n"/>
      <c r="B223" s="36" t="n"/>
      <c r="C223" s="37">
        <f>IF(B223="","",IFERROR(INDEX('案件'!$B$6:$B$105,MATCH(B223,'案件'!$A$6:$A$105,0))&amp;"","（案件シートに無い番号）"))</f>
        <v/>
      </c>
      <c r="D223" s="36" t="n"/>
      <c r="E223" s="38" t="n"/>
      <c r="F223" s="39" t="n"/>
      <c r="G223" s="36" t="n"/>
      <c r="H223" s="40" t="n"/>
      <c r="I223" s="40" t="n"/>
      <c r="J223" s="41">
        <f>IF(ISNUMBER(H223),H223,IF(AND(D223="労務費",TRIM(E223)&lt;&gt;""),IFERROR(INDEX('設定'!$G$12:$G$31,MATCH(TRIM(E223),'設定'!$J$12:$J$31,0)),""),""))</f>
        <v/>
      </c>
      <c r="K223" s="30">
        <f>IF(AND(ISNUMBER(F223),ISNUMBER(J223)),ROUND(F223*J223,0),IF(ISNUMBER(I223),I223,""))</f>
        <v/>
      </c>
      <c r="L223" s="33" t="n"/>
      <c r="M223" s="34">
        <f>IF(COUNTA(A223:B223,D223:I223,L223)=0,"",IF(B223="","案件番号がありません",IF(ISNA(MATCH(B223,'案件'!$A$6:$A$105,0)),"案件シートに無い番号です",IF(NOT(OR(D223="材料費",D223="労務費",D223="外注費",D223="経費")),"費目を4つから選んでください",IF(K223="",IF(AND(ISNUMBER(F223),NOT(ISNUMBER(J223))),IF(D223="労務費","単価がありません（設定の作業者名と同じ書き方に）","単価がありません"),IF(AND(ISNUMBER(J223),NOT(ISNUMBER(F223))),"数量がありません","金額がありません")),IF(NOT(ISNUMBER(A223)),"日付がありません（月別集計に入りません）",IF(AND(ISNUMBER(F223),ISNUMBER(J223),ISNUMBER(I223)),"数量×単価を使いました（金額の欄は使っていません）","")))))))</f>
        <v/>
      </c>
      <c r="N223" s="91">
        <f>IF(AND(B223&lt;&gt;"",B223='案件カード'!$C$3),COUNTIF($B$5:B223,'案件カード'!$C$3),"")</f>
        <v/>
      </c>
      <c r="O223" s="91">
        <f>IF(ISNUMBER(K223),IF(B223="",K223,IF(AND(ISNUMBER(MATCH(B223,'案件'!$A$6:$A$105,0)),OR(D223="材料費",D223="労務費",D223="外注費",D223="経費")),0,K223)),0)</f>
        <v/>
      </c>
    </row>
    <row r="224" ht="16" customHeight="1">
      <c r="A224" s="35" t="n"/>
      <c r="B224" s="36" t="n"/>
      <c r="C224" s="37">
        <f>IF(B224="","",IFERROR(INDEX('案件'!$B$6:$B$105,MATCH(B224,'案件'!$A$6:$A$105,0))&amp;"","（案件シートに無い番号）"))</f>
        <v/>
      </c>
      <c r="D224" s="36" t="n"/>
      <c r="E224" s="38" t="n"/>
      <c r="F224" s="39" t="n"/>
      <c r="G224" s="36" t="n"/>
      <c r="H224" s="40" t="n"/>
      <c r="I224" s="40" t="n"/>
      <c r="J224" s="41">
        <f>IF(ISNUMBER(H224),H224,IF(AND(D224="労務費",TRIM(E224)&lt;&gt;""),IFERROR(INDEX('設定'!$G$12:$G$31,MATCH(TRIM(E224),'設定'!$J$12:$J$31,0)),""),""))</f>
        <v/>
      </c>
      <c r="K224" s="30">
        <f>IF(AND(ISNUMBER(F224),ISNUMBER(J224)),ROUND(F224*J224,0),IF(ISNUMBER(I224),I224,""))</f>
        <v/>
      </c>
      <c r="L224" s="33" t="n"/>
      <c r="M224" s="34">
        <f>IF(COUNTA(A224:B224,D224:I224,L224)=0,"",IF(B224="","案件番号がありません",IF(ISNA(MATCH(B224,'案件'!$A$6:$A$105,0)),"案件シートに無い番号です",IF(NOT(OR(D224="材料費",D224="労務費",D224="外注費",D224="経費")),"費目を4つから選んでください",IF(K224="",IF(AND(ISNUMBER(F224),NOT(ISNUMBER(J224))),IF(D224="労務費","単価がありません（設定の作業者名と同じ書き方に）","単価がありません"),IF(AND(ISNUMBER(J224),NOT(ISNUMBER(F224))),"数量がありません","金額がありません")),IF(NOT(ISNUMBER(A224)),"日付がありません（月別集計に入りません）",IF(AND(ISNUMBER(F224),ISNUMBER(J224),ISNUMBER(I224)),"数量×単価を使いました（金額の欄は使っていません）","")))))))</f>
        <v/>
      </c>
      <c r="N224" s="91">
        <f>IF(AND(B224&lt;&gt;"",B224='案件カード'!$C$3),COUNTIF($B$5:B224,'案件カード'!$C$3),"")</f>
        <v/>
      </c>
      <c r="O224" s="91">
        <f>IF(ISNUMBER(K224),IF(B224="",K224,IF(AND(ISNUMBER(MATCH(B224,'案件'!$A$6:$A$105,0)),OR(D224="材料費",D224="労務費",D224="外注費",D224="経費")),0,K224)),0)</f>
        <v/>
      </c>
    </row>
    <row r="225" ht="16" customHeight="1">
      <c r="A225" s="35" t="n"/>
      <c r="B225" s="36" t="n"/>
      <c r="C225" s="37">
        <f>IF(B225="","",IFERROR(INDEX('案件'!$B$6:$B$105,MATCH(B225,'案件'!$A$6:$A$105,0))&amp;"","（案件シートに無い番号）"))</f>
        <v/>
      </c>
      <c r="D225" s="36" t="n"/>
      <c r="E225" s="38" t="n"/>
      <c r="F225" s="39" t="n"/>
      <c r="G225" s="36" t="n"/>
      <c r="H225" s="40" t="n"/>
      <c r="I225" s="40" t="n"/>
      <c r="J225" s="41">
        <f>IF(ISNUMBER(H225),H225,IF(AND(D225="労務費",TRIM(E225)&lt;&gt;""),IFERROR(INDEX('設定'!$G$12:$G$31,MATCH(TRIM(E225),'設定'!$J$12:$J$31,0)),""),""))</f>
        <v/>
      </c>
      <c r="K225" s="30">
        <f>IF(AND(ISNUMBER(F225),ISNUMBER(J225)),ROUND(F225*J225,0),IF(ISNUMBER(I225),I225,""))</f>
        <v/>
      </c>
      <c r="L225" s="33" t="n"/>
      <c r="M225" s="34">
        <f>IF(COUNTA(A225:B225,D225:I225,L225)=0,"",IF(B225="","案件番号がありません",IF(ISNA(MATCH(B225,'案件'!$A$6:$A$105,0)),"案件シートに無い番号です",IF(NOT(OR(D225="材料費",D225="労務費",D225="外注費",D225="経費")),"費目を4つから選んでください",IF(K225="",IF(AND(ISNUMBER(F225),NOT(ISNUMBER(J225))),IF(D225="労務費","単価がありません（設定の作業者名と同じ書き方に）","単価がありません"),IF(AND(ISNUMBER(J225),NOT(ISNUMBER(F225))),"数量がありません","金額がありません")),IF(NOT(ISNUMBER(A225)),"日付がありません（月別集計に入りません）",IF(AND(ISNUMBER(F225),ISNUMBER(J225),ISNUMBER(I225)),"数量×単価を使いました（金額の欄は使っていません）","")))))))</f>
        <v/>
      </c>
      <c r="N225" s="91">
        <f>IF(AND(B225&lt;&gt;"",B225='案件カード'!$C$3),COUNTIF($B$5:B225,'案件カード'!$C$3),"")</f>
        <v/>
      </c>
      <c r="O225" s="91">
        <f>IF(ISNUMBER(K225),IF(B225="",K225,IF(AND(ISNUMBER(MATCH(B225,'案件'!$A$6:$A$105,0)),OR(D225="材料費",D225="労務費",D225="外注費",D225="経費")),0,K225)),0)</f>
        <v/>
      </c>
    </row>
    <row r="226" ht="16" customHeight="1">
      <c r="A226" s="35" t="n"/>
      <c r="B226" s="36" t="n"/>
      <c r="C226" s="37">
        <f>IF(B226="","",IFERROR(INDEX('案件'!$B$6:$B$105,MATCH(B226,'案件'!$A$6:$A$105,0))&amp;"","（案件シートに無い番号）"))</f>
        <v/>
      </c>
      <c r="D226" s="36" t="n"/>
      <c r="E226" s="38" t="n"/>
      <c r="F226" s="39" t="n"/>
      <c r="G226" s="36" t="n"/>
      <c r="H226" s="40" t="n"/>
      <c r="I226" s="40" t="n"/>
      <c r="J226" s="41">
        <f>IF(ISNUMBER(H226),H226,IF(AND(D226="労務費",TRIM(E226)&lt;&gt;""),IFERROR(INDEX('設定'!$G$12:$G$31,MATCH(TRIM(E226),'設定'!$J$12:$J$31,0)),""),""))</f>
        <v/>
      </c>
      <c r="K226" s="30">
        <f>IF(AND(ISNUMBER(F226),ISNUMBER(J226)),ROUND(F226*J226,0),IF(ISNUMBER(I226),I226,""))</f>
        <v/>
      </c>
      <c r="L226" s="33" t="n"/>
      <c r="M226" s="34">
        <f>IF(COUNTA(A226:B226,D226:I226,L226)=0,"",IF(B226="","案件番号がありません",IF(ISNA(MATCH(B226,'案件'!$A$6:$A$105,0)),"案件シートに無い番号です",IF(NOT(OR(D226="材料費",D226="労務費",D226="外注費",D226="経費")),"費目を4つから選んでください",IF(K226="",IF(AND(ISNUMBER(F226),NOT(ISNUMBER(J226))),IF(D226="労務費","単価がありません（設定の作業者名と同じ書き方に）","単価がありません"),IF(AND(ISNUMBER(J226),NOT(ISNUMBER(F226))),"数量がありません","金額がありません")),IF(NOT(ISNUMBER(A226)),"日付がありません（月別集計に入りません）",IF(AND(ISNUMBER(F226),ISNUMBER(J226),ISNUMBER(I226)),"数量×単価を使いました（金額の欄は使っていません）","")))))))</f>
        <v/>
      </c>
      <c r="N226" s="91">
        <f>IF(AND(B226&lt;&gt;"",B226='案件カード'!$C$3),COUNTIF($B$5:B226,'案件カード'!$C$3),"")</f>
        <v/>
      </c>
      <c r="O226" s="91">
        <f>IF(ISNUMBER(K226),IF(B226="",K226,IF(AND(ISNUMBER(MATCH(B226,'案件'!$A$6:$A$105,0)),OR(D226="材料費",D226="労務費",D226="外注費",D226="経費")),0,K226)),0)</f>
        <v/>
      </c>
    </row>
    <row r="227" ht="16" customHeight="1">
      <c r="A227" s="35" t="n"/>
      <c r="B227" s="36" t="n"/>
      <c r="C227" s="37">
        <f>IF(B227="","",IFERROR(INDEX('案件'!$B$6:$B$105,MATCH(B227,'案件'!$A$6:$A$105,0))&amp;"","（案件シートに無い番号）"))</f>
        <v/>
      </c>
      <c r="D227" s="36" t="n"/>
      <c r="E227" s="38" t="n"/>
      <c r="F227" s="39" t="n"/>
      <c r="G227" s="36" t="n"/>
      <c r="H227" s="40" t="n"/>
      <c r="I227" s="40" t="n"/>
      <c r="J227" s="41">
        <f>IF(ISNUMBER(H227),H227,IF(AND(D227="労務費",TRIM(E227)&lt;&gt;""),IFERROR(INDEX('設定'!$G$12:$G$31,MATCH(TRIM(E227),'設定'!$J$12:$J$31,0)),""),""))</f>
        <v/>
      </c>
      <c r="K227" s="30">
        <f>IF(AND(ISNUMBER(F227),ISNUMBER(J227)),ROUND(F227*J227,0),IF(ISNUMBER(I227),I227,""))</f>
        <v/>
      </c>
      <c r="L227" s="33" t="n"/>
      <c r="M227" s="34">
        <f>IF(COUNTA(A227:B227,D227:I227,L227)=0,"",IF(B227="","案件番号がありません",IF(ISNA(MATCH(B227,'案件'!$A$6:$A$105,0)),"案件シートに無い番号です",IF(NOT(OR(D227="材料費",D227="労務費",D227="外注費",D227="経費")),"費目を4つから選んでください",IF(K227="",IF(AND(ISNUMBER(F227),NOT(ISNUMBER(J227))),IF(D227="労務費","単価がありません（設定の作業者名と同じ書き方に）","単価がありません"),IF(AND(ISNUMBER(J227),NOT(ISNUMBER(F227))),"数量がありません","金額がありません")),IF(NOT(ISNUMBER(A227)),"日付がありません（月別集計に入りません）",IF(AND(ISNUMBER(F227),ISNUMBER(J227),ISNUMBER(I227)),"数量×単価を使いました（金額の欄は使っていません）","")))))))</f>
        <v/>
      </c>
      <c r="N227" s="91">
        <f>IF(AND(B227&lt;&gt;"",B227='案件カード'!$C$3),COUNTIF($B$5:B227,'案件カード'!$C$3),"")</f>
        <v/>
      </c>
      <c r="O227" s="91">
        <f>IF(ISNUMBER(K227),IF(B227="",K227,IF(AND(ISNUMBER(MATCH(B227,'案件'!$A$6:$A$105,0)),OR(D227="材料費",D227="労務費",D227="外注費",D227="経費")),0,K227)),0)</f>
        <v/>
      </c>
    </row>
    <row r="228" ht="16" customHeight="1">
      <c r="A228" s="35" t="n"/>
      <c r="B228" s="36" t="n"/>
      <c r="C228" s="37">
        <f>IF(B228="","",IFERROR(INDEX('案件'!$B$6:$B$105,MATCH(B228,'案件'!$A$6:$A$105,0))&amp;"","（案件シートに無い番号）"))</f>
        <v/>
      </c>
      <c r="D228" s="36" t="n"/>
      <c r="E228" s="38" t="n"/>
      <c r="F228" s="39" t="n"/>
      <c r="G228" s="36" t="n"/>
      <c r="H228" s="40" t="n"/>
      <c r="I228" s="40" t="n"/>
      <c r="J228" s="41">
        <f>IF(ISNUMBER(H228),H228,IF(AND(D228="労務費",TRIM(E228)&lt;&gt;""),IFERROR(INDEX('設定'!$G$12:$G$31,MATCH(TRIM(E228),'設定'!$J$12:$J$31,0)),""),""))</f>
        <v/>
      </c>
      <c r="K228" s="30">
        <f>IF(AND(ISNUMBER(F228),ISNUMBER(J228)),ROUND(F228*J228,0),IF(ISNUMBER(I228),I228,""))</f>
        <v/>
      </c>
      <c r="L228" s="33" t="n"/>
      <c r="M228" s="34">
        <f>IF(COUNTA(A228:B228,D228:I228,L228)=0,"",IF(B228="","案件番号がありません",IF(ISNA(MATCH(B228,'案件'!$A$6:$A$105,0)),"案件シートに無い番号です",IF(NOT(OR(D228="材料費",D228="労務費",D228="外注費",D228="経費")),"費目を4つから選んでください",IF(K228="",IF(AND(ISNUMBER(F228),NOT(ISNUMBER(J228))),IF(D228="労務費","単価がありません（設定の作業者名と同じ書き方に）","単価がありません"),IF(AND(ISNUMBER(J228),NOT(ISNUMBER(F228))),"数量がありません","金額がありません")),IF(NOT(ISNUMBER(A228)),"日付がありません（月別集計に入りません）",IF(AND(ISNUMBER(F228),ISNUMBER(J228),ISNUMBER(I228)),"数量×単価を使いました（金額の欄は使っていません）","")))))))</f>
        <v/>
      </c>
      <c r="N228" s="91">
        <f>IF(AND(B228&lt;&gt;"",B228='案件カード'!$C$3),COUNTIF($B$5:B228,'案件カード'!$C$3),"")</f>
        <v/>
      </c>
      <c r="O228" s="91">
        <f>IF(ISNUMBER(K228),IF(B228="",K228,IF(AND(ISNUMBER(MATCH(B228,'案件'!$A$6:$A$105,0)),OR(D228="材料費",D228="労務費",D228="外注費",D228="経費")),0,K228)),0)</f>
        <v/>
      </c>
    </row>
    <row r="229" ht="16" customHeight="1">
      <c r="A229" s="35" t="n"/>
      <c r="B229" s="36" t="n"/>
      <c r="C229" s="37">
        <f>IF(B229="","",IFERROR(INDEX('案件'!$B$6:$B$105,MATCH(B229,'案件'!$A$6:$A$105,0))&amp;"","（案件シートに無い番号）"))</f>
        <v/>
      </c>
      <c r="D229" s="36" t="n"/>
      <c r="E229" s="38" t="n"/>
      <c r="F229" s="39" t="n"/>
      <c r="G229" s="36" t="n"/>
      <c r="H229" s="40" t="n"/>
      <c r="I229" s="40" t="n"/>
      <c r="J229" s="41">
        <f>IF(ISNUMBER(H229),H229,IF(AND(D229="労務費",TRIM(E229)&lt;&gt;""),IFERROR(INDEX('設定'!$G$12:$G$31,MATCH(TRIM(E229),'設定'!$J$12:$J$31,0)),""),""))</f>
        <v/>
      </c>
      <c r="K229" s="30">
        <f>IF(AND(ISNUMBER(F229),ISNUMBER(J229)),ROUND(F229*J229,0),IF(ISNUMBER(I229),I229,""))</f>
        <v/>
      </c>
      <c r="L229" s="33" t="n"/>
      <c r="M229" s="34">
        <f>IF(COUNTA(A229:B229,D229:I229,L229)=0,"",IF(B229="","案件番号がありません",IF(ISNA(MATCH(B229,'案件'!$A$6:$A$105,0)),"案件シートに無い番号です",IF(NOT(OR(D229="材料費",D229="労務費",D229="外注費",D229="経費")),"費目を4つから選んでください",IF(K229="",IF(AND(ISNUMBER(F229),NOT(ISNUMBER(J229))),IF(D229="労務費","単価がありません（設定の作業者名と同じ書き方に）","単価がありません"),IF(AND(ISNUMBER(J229),NOT(ISNUMBER(F229))),"数量がありません","金額がありません")),IF(NOT(ISNUMBER(A229)),"日付がありません（月別集計に入りません）",IF(AND(ISNUMBER(F229),ISNUMBER(J229),ISNUMBER(I229)),"数量×単価を使いました（金額の欄は使っていません）","")))))))</f>
        <v/>
      </c>
      <c r="N229" s="91">
        <f>IF(AND(B229&lt;&gt;"",B229='案件カード'!$C$3),COUNTIF($B$5:B229,'案件カード'!$C$3),"")</f>
        <v/>
      </c>
      <c r="O229" s="91">
        <f>IF(ISNUMBER(K229),IF(B229="",K229,IF(AND(ISNUMBER(MATCH(B229,'案件'!$A$6:$A$105,0)),OR(D229="材料費",D229="労務費",D229="外注費",D229="経費")),0,K229)),0)</f>
        <v/>
      </c>
    </row>
    <row r="230" ht="16" customHeight="1">
      <c r="A230" s="35" t="n"/>
      <c r="B230" s="36" t="n"/>
      <c r="C230" s="37">
        <f>IF(B230="","",IFERROR(INDEX('案件'!$B$6:$B$105,MATCH(B230,'案件'!$A$6:$A$105,0))&amp;"","（案件シートに無い番号）"))</f>
        <v/>
      </c>
      <c r="D230" s="36" t="n"/>
      <c r="E230" s="38" t="n"/>
      <c r="F230" s="39" t="n"/>
      <c r="G230" s="36" t="n"/>
      <c r="H230" s="40" t="n"/>
      <c r="I230" s="40" t="n"/>
      <c r="J230" s="41">
        <f>IF(ISNUMBER(H230),H230,IF(AND(D230="労務費",TRIM(E230)&lt;&gt;""),IFERROR(INDEX('設定'!$G$12:$G$31,MATCH(TRIM(E230),'設定'!$J$12:$J$31,0)),""),""))</f>
        <v/>
      </c>
      <c r="K230" s="30">
        <f>IF(AND(ISNUMBER(F230),ISNUMBER(J230)),ROUND(F230*J230,0),IF(ISNUMBER(I230),I230,""))</f>
        <v/>
      </c>
      <c r="L230" s="33" t="n"/>
      <c r="M230" s="34">
        <f>IF(COUNTA(A230:B230,D230:I230,L230)=0,"",IF(B230="","案件番号がありません",IF(ISNA(MATCH(B230,'案件'!$A$6:$A$105,0)),"案件シートに無い番号です",IF(NOT(OR(D230="材料費",D230="労務費",D230="外注費",D230="経費")),"費目を4つから選んでください",IF(K230="",IF(AND(ISNUMBER(F230),NOT(ISNUMBER(J230))),IF(D230="労務費","単価がありません（設定の作業者名と同じ書き方に）","単価がありません"),IF(AND(ISNUMBER(J230),NOT(ISNUMBER(F230))),"数量がありません","金額がありません")),IF(NOT(ISNUMBER(A230)),"日付がありません（月別集計に入りません）",IF(AND(ISNUMBER(F230),ISNUMBER(J230),ISNUMBER(I230)),"数量×単価を使いました（金額の欄は使っていません）","")))))))</f>
        <v/>
      </c>
      <c r="N230" s="91">
        <f>IF(AND(B230&lt;&gt;"",B230='案件カード'!$C$3),COUNTIF($B$5:B230,'案件カード'!$C$3),"")</f>
        <v/>
      </c>
      <c r="O230" s="91">
        <f>IF(ISNUMBER(K230),IF(B230="",K230,IF(AND(ISNUMBER(MATCH(B230,'案件'!$A$6:$A$105,0)),OR(D230="材料費",D230="労務費",D230="外注費",D230="経費")),0,K230)),0)</f>
        <v/>
      </c>
    </row>
    <row r="231" ht="16" customHeight="1">
      <c r="A231" s="35" t="n"/>
      <c r="B231" s="36" t="n"/>
      <c r="C231" s="37">
        <f>IF(B231="","",IFERROR(INDEX('案件'!$B$6:$B$105,MATCH(B231,'案件'!$A$6:$A$105,0))&amp;"","（案件シートに無い番号）"))</f>
        <v/>
      </c>
      <c r="D231" s="36" t="n"/>
      <c r="E231" s="38" t="n"/>
      <c r="F231" s="39" t="n"/>
      <c r="G231" s="36" t="n"/>
      <c r="H231" s="40" t="n"/>
      <c r="I231" s="40" t="n"/>
      <c r="J231" s="41">
        <f>IF(ISNUMBER(H231),H231,IF(AND(D231="労務費",TRIM(E231)&lt;&gt;""),IFERROR(INDEX('設定'!$G$12:$G$31,MATCH(TRIM(E231),'設定'!$J$12:$J$31,0)),""),""))</f>
        <v/>
      </c>
      <c r="K231" s="30">
        <f>IF(AND(ISNUMBER(F231),ISNUMBER(J231)),ROUND(F231*J231,0),IF(ISNUMBER(I231),I231,""))</f>
        <v/>
      </c>
      <c r="L231" s="33" t="n"/>
      <c r="M231" s="34">
        <f>IF(COUNTA(A231:B231,D231:I231,L231)=0,"",IF(B231="","案件番号がありません",IF(ISNA(MATCH(B231,'案件'!$A$6:$A$105,0)),"案件シートに無い番号です",IF(NOT(OR(D231="材料費",D231="労務費",D231="外注費",D231="経費")),"費目を4つから選んでください",IF(K231="",IF(AND(ISNUMBER(F231),NOT(ISNUMBER(J231))),IF(D231="労務費","単価がありません（設定の作業者名と同じ書き方に）","単価がありません"),IF(AND(ISNUMBER(J231),NOT(ISNUMBER(F231))),"数量がありません","金額がありません")),IF(NOT(ISNUMBER(A231)),"日付がありません（月別集計に入りません）",IF(AND(ISNUMBER(F231),ISNUMBER(J231),ISNUMBER(I231)),"数量×単価を使いました（金額の欄は使っていません）","")))))))</f>
        <v/>
      </c>
      <c r="N231" s="91">
        <f>IF(AND(B231&lt;&gt;"",B231='案件カード'!$C$3),COUNTIF($B$5:B231,'案件カード'!$C$3),"")</f>
        <v/>
      </c>
      <c r="O231" s="91">
        <f>IF(ISNUMBER(K231),IF(B231="",K231,IF(AND(ISNUMBER(MATCH(B231,'案件'!$A$6:$A$105,0)),OR(D231="材料費",D231="労務費",D231="外注費",D231="経費")),0,K231)),0)</f>
        <v/>
      </c>
    </row>
    <row r="232" ht="16" customHeight="1">
      <c r="A232" s="35" t="n"/>
      <c r="B232" s="36" t="n"/>
      <c r="C232" s="37">
        <f>IF(B232="","",IFERROR(INDEX('案件'!$B$6:$B$105,MATCH(B232,'案件'!$A$6:$A$105,0))&amp;"","（案件シートに無い番号）"))</f>
        <v/>
      </c>
      <c r="D232" s="36" t="n"/>
      <c r="E232" s="38" t="n"/>
      <c r="F232" s="39" t="n"/>
      <c r="G232" s="36" t="n"/>
      <c r="H232" s="40" t="n"/>
      <c r="I232" s="40" t="n"/>
      <c r="J232" s="41">
        <f>IF(ISNUMBER(H232),H232,IF(AND(D232="労務費",TRIM(E232)&lt;&gt;""),IFERROR(INDEX('設定'!$G$12:$G$31,MATCH(TRIM(E232),'設定'!$J$12:$J$31,0)),""),""))</f>
        <v/>
      </c>
      <c r="K232" s="30">
        <f>IF(AND(ISNUMBER(F232),ISNUMBER(J232)),ROUND(F232*J232,0),IF(ISNUMBER(I232),I232,""))</f>
        <v/>
      </c>
      <c r="L232" s="33" t="n"/>
      <c r="M232" s="34">
        <f>IF(COUNTA(A232:B232,D232:I232,L232)=0,"",IF(B232="","案件番号がありません",IF(ISNA(MATCH(B232,'案件'!$A$6:$A$105,0)),"案件シートに無い番号です",IF(NOT(OR(D232="材料費",D232="労務費",D232="外注費",D232="経費")),"費目を4つから選んでください",IF(K232="",IF(AND(ISNUMBER(F232),NOT(ISNUMBER(J232))),IF(D232="労務費","単価がありません（設定の作業者名と同じ書き方に）","単価がありません"),IF(AND(ISNUMBER(J232),NOT(ISNUMBER(F232))),"数量がありません","金額がありません")),IF(NOT(ISNUMBER(A232)),"日付がありません（月別集計に入りません）",IF(AND(ISNUMBER(F232),ISNUMBER(J232),ISNUMBER(I232)),"数量×単価を使いました（金額の欄は使っていません）","")))))))</f>
        <v/>
      </c>
      <c r="N232" s="91">
        <f>IF(AND(B232&lt;&gt;"",B232='案件カード'!$C$3),COUNTIF($B$5:B232,'案件カード'!$C$3),"")</f>
        <v/>
      </c>
      <c r="O232" s="91">
        <f>IF(ISNUMBER(K232),IF(B232="",K232,IF(AND(ISNUMBER(MATCH(B232,'案件'!$A$6:$A$105,0)),OR(D232="材料費",D232="労務費",D232="外注費",D232="経費")),0,K232)),0)</f>
        <v/>
      </c>
    </row>
    <row r="233" ht="16" customHeight="1">
      <c r="A233" s="35" t="n"/>
      <c r="B233" s="36" t="n"/>
      <c r="C233" s="37">
        <f>IF(B233="","",IFERROR(INDEX('案件'!$B$6:$B$105,MATCH(B233,'案件'!$A$6:$A$105,0))&amp;"","（案件シートに無い番号）"))</f>
        <v/>
      </c>
      <c r="D233" s="36" t="n"/>
      <c r="E233" s="38" t="n"/>
      <c r="F233" s="39" t="n"/>
      <c r="G233" s="36" t="n"/>
      <c r="H233" s="40" t="n"/>
      <c r="I233" s="40" t="n"/>
      <c r="J233" s="41">
        <f>IF(ISNUMBER(H233),H233,IF(AND(D233="労務費",TRIM(E233)&lt;&gt;""),IFERROR(INDEX('設定'!$G$12:$G$31,MATCH(TRIM(E233),'設定'!$J$12:$J$31,0)),""),""))</f>
        <v/>
      </c>
      <c r="K233" s="30">
        <f>IF(AND(ISNUMBER(F233),ISNUMBER(J233)),ROUND(F233*J233,0),IF(ISNUMBER(I233),I233,""))</f>
        <v/>
      </c>
      <c r="L233" s="33" t="n"/>
      <c r="M233" s="34">
        <f>IF(COUNTA(A233:B233,D233:I233,L233)=0,"",IF(B233="","案件番号がありません",IF(ISNA(MATCH(B233,'案件'!$A$6:$A$105,0)),"案件シートに無い番号です",IF(NOT(OR(D233="材料費",D233="労務費",D233="外注費",D233="経費")),"費目を4つから選んでください",IF(K233="",IF(AND(ISNUMBER(F233),NOT(ISNUMBER(J233))),IF(D233="労務費","単価がありません（設定の作業者名と同じ書き方に）","単価がありません"),IF(AND(ISNUMBER(J233),NOT(ISNUMBER(F233))),"数量がありません","金額がありません")),IF(NOT(ISNUMBER(A233)),"日付がありません（月別集計に入りません）",IF(AND(ISNUMBER(F233),ISNUMBER(J233),ISNUMBER(I233)),"数量×単価を使いました（金額の欄は使っていません）","")))))))</f>
        <v/>
      </c>
      <c r="N233" s="91">
        <f>IF(AND(B233&lt;&gt;"",B233='案件カード'!$C$3),COUNTIF($B$5:B233,'案件カード'!$C$3),"")</f>
        <v/>
      </c>
      <c r="O233" s="91">
        <f>IF(ISNUMBER(K233),IF(B233="",K233,IF(AND(ISNUMBER(MATCH(B233,'案件'!$A$6:$A$105,0)),OR(D233="材料費",D233="労務費",D233="外注費",D233="経費")),0,K233)),0)</f>
        <v/>
      </c>
    </row>
    <row r="234" ht="16" customHeight="1">
      <c r="A234" s="35" t="n"/>
      <c r="B234" s="36" t="n"/>
      <c r="C234" s="37">
        <f>IF(B234="","",IFERROR(INDEX('案件'!$B$6:$B$105,MATCH(B234,'案件'!$A$6:$A$105,0))&amp;"","（案件シートに無い番号）"))</f>
        <v/>
      </c>
      <c r="D234" s="36" t="n"/>
      <c r="E234" s="38" t="n"/>
      <c r="F234" s="39" t="n"/>
      <c r="G234" s="36" t="n"/>
      <c r="H234" s="40" t="n"/>
      <c r="I234" s="40" t="n"/>
      <c r="J234" s="41">
        <f>IF(ISNUMBER(H234),H234,IF(AND(D234="労務費",TRIM(E234)&lt;&gt;""),IFERROR(INDEX('設定'!$G$12:$G$31,MATCH(TRIM(E234),'設定'!$J$12:$J$31,0)),""),""))</f>
        <v/>
      </c>
      <c r="K234" s="30">
        <f>IF(AND(ISNUMBER(F234),ISNUMBER(J234)),ROUND(F234*J234,0),IF(ISNUMBER(I234),I234,""))</f>
        <v/>
      </c>
      <c r="L234" s="33" t="n"/>
      <c r="M234" s="34">
        <f>IF(COUNTA(A234:B234,D234:I234,L234)=0,"",IF(B234="","案件番号がありません",IF(ISNA(MATCH(B234,'案件'!$A$6:$A$105,0)),"案件シートに無い番号です",IF(NOT(OR(D234="材料費",D234="労務費",D234="外注費",D234="経費")),"費目を4つから選んでください",IF(K234="",IF(AND(ISNUMBER(F234),NOT(ISNUMBER(J234))),IF(D234="労務費","単価がありません（設定の作業者名と同じ書き方に）","単価がありません"),IF(AND(ISNUMBER(J234),NOT(ISNUMBER(F234))),"数量がありません","金額がありません")),IF(NOT(ISNUMBER(A234)),"日付がありません（月別集計に入りません）",IF(AND(ISNUMBER(F234),ISNUMBER(J234),ISNUMBER(I234)),"数量×単価を使いました（金額の欄は使っていません）","")))))))</f>
        <v/>
      </c>
      <c r="N234" s="91">
        <f>IF(AND(B234&lt;&gt;"",B234='案件カード'!$C$3),COUNTIF($B$5:B234,'案件カード'!$C$3),"")</f>
        <v/>
      </c>
      <c r="O234" s="91">
        <f>IF(ISNUMBER(K234),IF(B234="",K234,IF(AND(ISNUMBER(MATCH(B234,'案件'!$A$6:$A$105,0)),OR(D234="材料費",D234="労務費",D234="外注費",D234="経費")),0,K234)),0)</f>
        <v/>
      </c>
    </row>
    <row r="235" ht="16" customHeight="1">
      <c r="A235" s="35" t="n"/>
      <c r="B235" s="36" t="n"/>
      <c r="C235" s="37">
        <f>IF(B235="","",IFERROR(INDEX('案件'!$B$6:$B$105,MATCH(B235,'案件'!$A$6:$A$105,0))&amp;"","（案件シートに無い番号）"))</f>
        <v/>
      </c>
      <c r="D235" s="36" t="n"/>
      <c r="E235" s="38" t="n"/>
      <c r="F235" s="39" t="n"/>
      <c r="G235" s="36" t="n"/>
      <c r="H235" s="40" t="n"/>
      <c r="I235" s="40" t="n"/>
      <c r="J235" s="41">
        <f>IF(ISNUMBER(H235),H235,IF(AND(D235="労務費",TRIM(E235)&lt;&gt;""),IFERROR(INDEX('設定'!$G$12:$G$31,MATCH(TRIM(E235),'設定'!$J$12:$J$31,0)),""),""))</f>
        <v/>
      </c>
      <c r="K235" s="30">
        <f>IF(AND(ISNUMBER(F235),ISNUMBER(J235)),ROUND(F235*J235,0),IF(ISNUMBER(I235),I235,""))</f>
        <v/>
      </c>
      <c r="L235" s="33" t="n"/>
      <c r="M235" s="34">
        <f>IF(COUNTA(A235:B235,D235:I235,L235)=0,"",IF(B235="","案件番号がありません",IF(ISNA(MATCH(B235,'案件'!$A$6:$A$105,0)),"案件シートに無い番号です",IF(NOT(OR(D235="材料費",D235="労務費",D235="外注費",D235="経費")),"費目を4つから選んでください",IF(K235="",IF(AND(ISNUMBER(F235),NOT(ISNUMBER(J235))),IF(D235="労務費","単価がありません（設定の作業者名と同じ書き方に）","単価がありません"),IF(AND(ISNUMBER(J235),NOT(ISNUMBER(F235))),"数量がありません","金額がありません")),IF(NOT(ISNUMBER(A235)),"日付がありません（月別集計に入りません）",IF(AND(ISNUMBER(F235),ISNUMBER(J235),ISNUMBER(I235)),"数量×単価を使いました（金額の欄は使っていません）","")))))))</f>
        <v/>
      </c>
      <c r="N235" s="91">
        <f>IF(AND(B235&lt;&gt;"",B235='案件カード'!$C$3),COUNTIF($B$5:B235,'案件カード'!$C$3),"")</f>
        <v/>
      </c>
      <c r="O235" s="91">
        <f>IF(ISNUMBER(K235),IF(B235="",K235,IF(AND(ISNUMBER(MATCH(B235,'案件'!$A$6:$A$105,0)),OR(D235="材料費",D235="労務費",D235="外注費",D235="経費")),0,K235)),0)</f>
        <v/>
      </c>
    </row>
    <row r="236" ht="16" customHeight="1">
      <c r="A236" s="35" t="n"/>
      <c r="B236" s="36" t="n"/>
      <c r="C236" s="37">
        <f>IF(B236="","",IFERROR(INDEX('案件'!$B$6:$B$105,MATCH(B236,'案件'!$A$6:$A$105,0))&amp;"","（案件シートに無い番号）"))</f>
        <v/>
      </c>
      <c r="D236" s="36" t="n"/>
      <c r="E236" s="38" t="n"/>
      <c r="F236" s="39" t="n"/>
      <c r="G236" s="36" t="n"/>
      <c r="H236" s="40" t="n"/>
      <c r="I236" s="40" t="n"/>
      <c r="J236" s="41">
        <f>IF(ISNUMBER(H236),H236,IF(AND(D236="労務費",TRIM(E236)&lt;&gt;""),IFERROR(INDEX('設定'!$G$12:$G$31,MATCH(TRIM(E236),'設定'!$J$12:$J$31,0)),""),""))</f>
        <v/>
      </c>
      <c r="K236" s="30">
        <f>IF(AND(ISNUMBER(F236),ISNUMBER(J236)),ROUND(F236*J236,0),IF(ISNUMBER(I236),I236,""))</f>
        <v/>
      </c>
      <c r="L236" s="33" t="n"/>
      <c r="M236" s="34">
        <f>IF(COUNTA(A236:B236,D236:I236,L236)=0,"",IF(B236="","案件番号がありません",IF(ISNA(MATCH(B236,'案件'!$A$6:$A$105,0)),"案件シートに無い番号です",IF(NOT(OR(D236="材料費",D236="労務費",D236="外注費",D236="経費")),"費目を4つから選んでください",IF(K236="",IF(AND(ISNUMBER(F236),NOT(ISNUMBER(J236))),IF(D236="労務費","単価がありません（設定の作業者名と同じ書き方に）","単価がありません"),IF(AND(ISNUMBER(J236),NOT(ISNUMBER(F236))),"数量がありません","金額がありません")),IF(NOT(ISNUMBER(A236)),"日付がありません（月別集計に入りません）",IF(AND(ISNUMBER(F236),ISNUMBER(J236),ISNUMBER(I236)),"数量×単価を使いました（金額の欄は使っていません）","")))))))</f>
        <v/>
      </c>
      <c r="N236" s="91">
        <f>IF(AND(B236&lt;&gt;"",B236='案件カード'!$C$3),COUNTIF($B$5:B236,'案件カード'!$C$3),"")</f>
        <v/>
      </c>
      <c r="O236" s="91">
        <f>IF(ISNUMBER(K236),IF(B236="",K236,IF(AND(ISNUMBER(MATCH(B236,'案件'!$A$6:$A$105,0)),OR(D236="材料費",D236="労務費",D236="外注費",D236="経費")),0,K236)),0)</f>
        <v/>
      </c>
    </row>
    <row r="237" ht="16" customHeight="1">
      <c r="A237" s="35" t="n"/>
      <c r="B237" s="36" t="n"/>
      <c r="C237" s="37">
        <f>IF(B237="","",IFERROR(INDEX('案件'!$B$6:$B$105,MATCH(B237,'案件'!$A$6:$A$105,0))&amp;"","（案件シートに無い番号）"))</f>
        <v/>
      </c>
      <c r="D237" s="36" t="n"/>
      <c r="E237" s="38" t="n"/>
      <c r="F237" s="39" t="n"/>
      <c r="G237" s="36" t="n"/>
      <c r="H237" s="40" t="n"/>
      <c r="I237" s="40" t="n"/>
      <c r="J237" s="41">
        <f>IF(ISNUMBER(H237),H237,IF(AND(D237="労務費",TRIM(E237)&lt;&gt;""),IFERROR(INDEX('設定'!$G$12:$G$31,MATCH(TRIM(E237),'設定'!$J$12:$J$31,0)),""),""))</f>
        <v/>
      </c>
      <c r="K237" s="30">
        <f>IF(AND(ISNUMBER(F237),ISNUMBER(J237)),ROUND(F237*J237,0),IF(ISNUMBER(I237),I237,""))</f>
        <v/>
      </c>
      <c r="L237" s="33" t="n"/>
      <c r="M237" s="34">
        <f>IF(COUNTA(A237:B237,D237:I237,L237)=0,"",IF(B237="","案件番号がありません",IF(ISNA(MATCH(B237,'案件'!$A$6:$A$105,0)),"案件シートに無い番号です",IF(NOT(OR(D237="材料費",D237="労務費",D237="外注費",D237="経費")),"費目を4つから選んでください",IF(K237="",IF(AND(ISNUMBER(F237),NOT(ISNUMBER(J237))),IF(D237="労務費","単価がありません（設定の作業者名と同じ書き方に）","単価がありません"),IF(AND(ISNUMBER(J237),NOT(ISNUMBER(F237))),"数量がありません","金額がありません")),IF(NOT(ISNUMBER(A237)),"日付がありません（月別集計に入りません）",IF(AND(ISNUMBER(F237),ISNUMBER(J237),ISNUMBER(I237)),"数量×単価を使いました（金額の欄は使っていません）","")))))))</f>
        <v/>
      </c>
      <c r="N237" s="91">
        <f>IF(AND(B237&lt;&gt;"",B237='案件カード'!$C$3),COUNTIF($B$5:B237,'案件カード'!$C$3),"")</f>
        <v/>
      </c>
      <c r="O237" s="91">
        <f>IF(ISNUMBER(K237),IF(B237="",K237,IF(AND(ISNUMBER(MATCH(B237,'案件'!$A$6:$A$105,0)),OR(D237="材料費",D237="労務費",D237="外注費",D237="経費")),0,K237)),0)</f>
        <v/>
      </c>
    </row>
    <row r="238" ht="16" customHeight="1">
      <c r="A238" s="35" t="n"/>
      <c r="B238" s="36" t="n"/>
      <c r="C238" s="37">
        <f>IF(B238="","",IFERROR(INDEX('案件'!$B$6:$B$105,MATCH(B238,'案件'!$A$6:$A$105,0))&amp;"","（案件シートに無い番号）"))</f>
        <v/>
      </c>
      <c r="D238" s="36" t="n"/>
      <c r="E238" s="38" t="n"/>
      <c r="F238" s="39" t="n"/>
      <c r="G238" s="36" t="n"/>
      <c r="H238" s="40" t="n"/>
      <c r="I238" s="40" t="n"/>
      <c r="J238" s="41">
        <f>IF(ISNUMBER(H238),H238,IF(AND(D238="労務費",TRIM(E238)&lt;&gt;""),IFERROR(INDEX('設定'!$G$12:$G$31,MATCH(TRIM(E238),'設定'!$J$12:$J$31,0)),""),""))</f>
        <v/>
      </c>
      <c r="K238" s="30">
        <f>IF(AND(ISNUMBER(F238),ISNUMBER(J238)),ROUND(F238*J238,0),IF(ISNUMBER(I238),I238,""))</f>
        <v/>
      </c>
      <c r="L238" s="33" t="n"/>
      <c r="M238" s="34">
        <f>IF(COUNTA(A238:B238,D238:I238,L238)=0,"",IF(B238="","案件番号がありません",IF(ISNA(MATCH(B238,'案件'!$A$6:$A$105,0)),"案件シートに無い番号です",IF(NOT(OR(D238="材料費",D238="労務費",D238="外注費",D238="経費")),"費目を4つから選んでください",IF(K238="",IF(AND(ISNUMBER(F238),NOT(ISNUMBER(J238))),IF(D238="労務費","単価がありません（設定の作業者名と同じ書き方に）","単価がありません"),IF(AND(ISNUMBER(J238),NOT(ISNUMBER(F238))),"数量がありません","金額がありません")),IF(NOT(ISNUMBER(A238)),"日付がありません（月別集計に入りません）",IF(AND(ISNUMBER(F238),ISNUMBER(J238),ISNUMBER(I238)),"数量×単価を使いました（金額の欄は使っていません）","")))))))</f>
        <v/>
      </c>
      <c r="N238" s="91">
        <f>IF(AND(B238&lt;&gt;"",B238='案件カード'!$C$3),COUNTIF($B$5:B238,'案件カード'!$C$3),"")</f>
        <v/>
      </c>
      <c r="O238" s="91">
        <f>IF(ISNUMBER(K238),IF(B238="",K238,IF(AND(ISNUMBER(MATCH(B238,'案件'!$A$6:$A$105,0)),OR(D238="材料費",D238="労務費",D238="外注費",D238="経費")),0,K238)),0)</f>
        <v/>
      </c>
    </row>
    <row r="239" ht="16" customHeight="1">
      <c r="A239" s="35" t="n"/>
      <c r="B239" s="36" t="n"/>
      <c r="C239" s="37">
        <f>IF(B239="","",IFERROR(INDEX('案件'!$B$6:$B$105,MATCH(B239,'案件'!$A$6:$A$105,0))&amp;"","（案件シートに無い番号）"))</f>
        <v/>
      </c>
      <c r="D239" s="36" t="n"/>
      <c r="E239" s="38" t="n"/>
      <c r="F239" s="39" t="n"/>
      <c r="G239" s="36" t="n"/>
      <c r="H239" s="40" t="n"/>
      <c r="I239" s="40" t="n"/>
      <c r="J239" s="41">
        <f>IF(ISNUMBER(H239),H239,IF(AND(D239="労務費",TRIM(E239)&lt;&gt;""),IFERROR(INDEX('設定'!$G$12:$G$31,MATCH(TRIM(E239),'設定'!$J$12:$J$31,0)),""),""))</f>
        <v/>
      </c>
      <c r="K239" s="30">
        <f>IF(AND(ISNUMBER(F239),ISNUMBER(J239)),ROUND(F239*J239,0),IF(ISNUMBER(I239),I239,""))</f>
        <v/>
      </c>
      <c r="L239" s="33" t="n"/>
      <c r="M239" s="34">
        <f>IF(COUNTA(A239:B239,D239:I239,L239)=0,"",IF(B239="","案件番号がありません",IF(ISNA(MATCH(B239,'案件'!$A$6:$A$105,0)),"案件シートに無い番号です",IF(NOT(OR(D239="材料費",D239="労務費",D239="外注費",D239="経費")),"費目を4つから選んでください",IF(K239="",IF(AND(ISNUMBER(F239),NOT(ISNUMBER(J239))),IF(D239="労務費","単価がありません（設定の作業者名と同じ書き方に）","単価がありません"),IF(AND(ISNUMBER(J239),NOT(ISNUMBER(F239))),"数量がありません","金額がありません")),IF(NOT(ISNUMBER(A239)),"日付がありません（月別集計に入りません）",IF(AND(ISNUMBER(F239),ISNUMBER(J239),ISNUMBER(I239)),"数量×単価を使いました（金額の欄は使っていません）","")))))))</f>
        <v/>
      </c>
      <c r="N239" s="91">
        <f>IF(AND(B239&lt;&gt;"",B239='案件カード'!$C$3),COUNTIF($B$5:B239,'案件カード'!$C$3),"")</f>
        <v/>
      </c>
      <c r="O239" s="91">
        <f>IF(ISNUMBER(K239),IF(B239="",K239,IF(AND(ISNUMBER(MATCH(B239,'案件'!$A$6:$A$105,0)),OR(D239="材料費",D239="労務費",D239="外注費",D239="経費")),0,K239)),0)</f>
        <v/>
      </c>
    </row>
    <row r="240" ht="16" customHeight="1">
      <c r="A240" s="35" t="n"/>
      <c r="B240" s="36" t="n"/>
      <c r="C240" s="37">
        <f>IF(B240="","",IFERROR(INDEX('案件'!$B$6:$B$105,MATCH(B240,'案件'!$A$6:$A$105,0))&amp;"","（案件シートに無い番号）"))</f>
        <v/>
      </c>
      <c r="D240" s="36" t="n"/>
      <c r="E240" s="38" t="n"/>
      <c r="F240" s="39" t="n"/>
      <c r="G240" s="36" t="n"/>
      <c r="H240" s="40" t="n"/>
      <c r="I240" s="40" t="n"/>
      <c r="J240" s="41">
        <f>IF(ISNUMBER(H240),H240,IF(AND(D240="労務費",TRIM(E240)&lt;&gt;""),IFERROR(INDEX('設定'!$G$12:$G$31,MATCH(TRIM(E240),'設定'!$J$12:$J$31,0)),""),""))</f>
        <v/>
      </c>
      <c r="K240" s="30">
        <f>IF(AND(ISNUMBER(F240),ISNUMBER(J240)),ROUND(F240*J240,0),IF(ISNUMBER(I240),I240,""))</f>
        <v/>
      </c>
      <c r="L240" s="33" t="n"/>
      <c r="M240" s="34">
        <f>IF(COUNTA(A240:B240,D240:I240,L240)=0,"",IF(B240="","案件番号がありません",IF(ISNA(MATCH(B240,'案件'!$A$6:$A$105,0)),"案件シートに無い番号です",IF(NOT(OR(D240="材料費",D240="労務費",D240="外注費",D240="経費")),"費目を4つから選んでください",IF(K240="",IF(AND(ISNUMBER(F240),NOT(ISNUMBER(J240))),IF(D240="労務費","単価がありません（設定の作業者名と同じ書き方に）","単価がありません"),IF(AND(ISNUMBER(J240),NOT(ISNUMBER(F240))),"数量がありません","金額がありません")),IF(NOT(ISNUMBER(A240)),"日付がありません（月別集計に入りません）",IF(AND(ISNUMBER(F240),ISNUMBER(J240),ISNUMBER(I240)),"数量×単価を使いました（金額の欄は使っていません）","")))))))</f>
        <v/>
      </c>
      <c r="N240" s="91">
        <f>IF(AND(B240&lt;&gt;"",B240='案件カード'!$C$3),COUNTIF($B$5:B240,'案件カード'!$C$3),"")</f>
        <v/>
      </c>
      <c r="O240" s="91">
        <f>IF(ISNUMBER(K240),IF(B240="",K240,IF(AND(ISNUMBER(MATCH(B240,'案件'!$A$6:$A$105,0)),OR(D240="材料費",D240="労務費",D240="外注費",D240="経費")),0,K240)),0)</f>
        <v/>
      </c>
    </row>
    <row r="241" ht="16" customHeight="1">
      <c r="A241" s="35" t="n"/>
      <c r="B241" s="36" t="n"/>
      <c r="C241" s="37">
        <f>IF(B241="","",IFERROR(INDEX('案件'!$B$6:$B$105,MATCH(B241,'案件'!$A$6:$A$105,0))&amp;"","（案件シートに無い番号）"))</f>
        <v/>
      </c>
      <c r="D241" s="36" t="n"/>
      <c r="E241" s="38" t="n"/>
      <c r="F241" s="39" t="n"/>
      <c r="G241" s="36" t="n"/>
      <c r="H241" s="40" t="n"/>
      <c r="I241" s="40" t="n"/>
      <c r="J241" s="41">
        <f>IF(ISNUMBER(H241),H241,IF(AND(D241="労務費",TRIM(E241)&lt;&gt;""),IFERROR(INDEX('設定'!$G$12:$G$31,MATCH(TRIM(E241),'設定'!$J$12:$J$31,0)),""),""))</f>
        <v/>
      </c>
      <c r="K241" s="30">
        <f>IF(AND(ISNUMBER(F241),ISNUMBER(J241)),ROUND(F241*J241,0),IF(ISNUMBER(I241),I241,""))</f>
        <v/>
      </c>
      <c r="L241" s="33" t="n"/>
      <c r="M241" s="34">
        <f>IF(COUNTA(A241:B241,D241:I241,L241)=0,"",IF(B241="","案件番号がありません",IF(ISNA(MATCH(B241,'案件'!$A$6:$A$105,0)),"案件シートに無い番号です",IF(NOT(OR(D241="材料費",D241="労務費",D241="外注費",D241="経費")),"費目を4つから選んでください",IF(K241="",IF(AND(ISNUMBER(F241),NOT(ISNUMBER(J241))),IF(D241="労務費","単価がありません（設定の作業者名と同じ書き方に）","単価がありません"),IF(AND(ISNUMBER(J241),NOT(ISNUMBER(F241))),"数量がありません","金額がありません")),IF(NOT(ISNUMBER(A241)),"日付がありません（月別集計に入りません）",IF(AND(ISNUMBER(F241),ISNUMBER(J241),ISNUMBER(I241)),"数量×単価を使いました（金額の欄は使っていません）","")))))))</f>
        <v/>
      </c>
      <c r="N241" s="91">
        <f>IF(AND(B241&lt;&gt;"",B241='案件カード'!$C$3),COUNTIF($B$5:B241,'案件カード'!$C$3),"")</f>
        <v/>
      </c>
      <c r="O241" s="91">
        <f>IF(ISNUMBER(K241),IF(B241="",K241,IF(AND(ISNUMBER(MATCH(B241,'案件'!$A$6:$A$105,0)),OR(D241="材料費",D241="労務費",D241="外注費",D241="経費")),0,K241)),0)</f>
        <v/>
      </c>
    </row>
    <row r="242" ht="16" customHeight="1">
      <c r="A242" s="35" t="n"/>
      <c r="B242" s="36" t="n"/>
      <c r="C242" s="37">
        <f>IF(B242="","",IFERROR(INDEX('案件'!$B$6:$B$105,MATCH(B242,'案件'!$A$6:$A$105,0))&amp;"","（案件シートに無い番号）"))</f>
        <v/>
      </c>
      <c r="D242" s="36" t="n"/>
      <c r="E242" s="38" t="n"/>
      <c r="F242" s="39" t="n"/>
      <c r="G242" s="36" t="n"/>
      <c r="H242" s="40" t="n"/>
      <c r="I242" s="40" t="n"/>
      <c r="J242" s="41">
        <f>IF(ISNUMBER(H242),H242,IF(AND(D242="労務費",TRIM(E242)&lt;&gt;""),IFERROR(INDEX('設定'!$G$12:$G$31,MATCH(TRIM(E242),'設定'!$J$12:$J$31,0)),""),""))</f>
        <v/>
      </c>
      <c r="K242" s="30">
        <f>IF(AND(ISNUMBER(F242),ISNUMBER(J242)),ROUND(F242*J242,0),IF(ISNUMBER(I242),I242,""))</f>
        <v/>
      </c>
      <c r="L242" s="33" t="n"/>
      <c r="M242" s="34">
        <f>IF(COUNTA(A242:B242,D242:I242,L242)=0,"",IF(B242="","案件番号がありません",IF(ISNA(MATCH(B242,'案件'!$A$6:$A$105,0)),"案件シートに無い番号です",IF(NOT(OR(D242="材料費",D242="労務費",D242="外注費",D242="経費")),"費目を4つから選んでください",IF(K242="",IF(AND(ISNUMBER(F242),NOT(ISNUMBER(J242))),IF(D242="労務費","単価がありません（設定の作業者名と同じ書き方に）","単価がありません"),IF(AND(ISNUMBER(J242),NOT(ISNUMBER(F242))),"数量がありません","金額がありません")),IF(NOT(ISNUMBER(A242)),"日付がありません（月別集計に入りません）",IF(AND(ISNUMBER(F242),ISNUMBER(J242),ISNUMBER(I242)),"数量×単価を使いました（金額の欄は使っていません）","")))))))</f>
        <v/>
      </c>
      <c r="N242" s="91">
        <f>IF(AND(B242&lt;&gt;"",B242='案件カード'!$C$3),COUNTIF($B$5:B242,'案件カード'!$C$3),"")</f>
        <v/>
      </c>
      <c r="O242" s="91">
        <f>IF(ISNUMBER(K242),IF(B242="",K242,IF(AND(ISNUMBER(MATCH(B242,'案件'!$A$6:$A$105,0)),OR(D242="材料費",D242="労務費",D242="外注費",D242="経費")),0,K242)),0)</f>
        <v/>
      </c>
    </row>
    <row r="243" ht="16" customHeight="1">
      <c r="A243" s="35" t="n"/>
      <c r="B243" s="36" t="n"/>
      <c r="C243" s="37">
        <f>IF(B243="","",IFERROR(INDEX('案件'!$B$6:$B$105,MATCH(B243,'案件'!$A$6:$A$105,0))&amp;"","（案件シートに無い番号）"))</f>
        <v/>
      </c>
      <c r="D243" s="36" t="n"/>
      <c r="E243" s="38" t="n"/>
      <c r="F243" s="39" t="n"/>
      <c r="G243" s="36" t="n"/>
      <c r="H243" s="40" t="n"/>
      <c r="I243" s="40" t="n"/>
      <c r="J243" s="41">
        <f>IF(ISNUMBER(H243),H243,IF(AND(D243="労務費",TRIM(E243)&lt;&gt;""),IFERROR(INDEX('設定'!$G$12:$G$31,MATCH(TRIM(E243),'設定'!$J$12:$J$31,0)),""),""))</f>
        <v/>
      </c>
      <c r="K243" s="30">
        <f>IF(AND(ISNUMBER(F243),ISNUMBER(J243)),ROUND(F243*J243,0),IF(ISNUMBER(I243),I243,""))</f>
        <v/>
      </c>
      <c r="L243" s="33" t="n"/>
      <c r="M243" s="34">
        <f>IF(COUNTA(A243:B243,D243:I243,L243)=0,"",IF(B243="","案件番号がありません",IF(ISNA(MATCH(B243,'案件'!$A$6:$A$105,0)),"案件シートに無い番号です",IF(NOT(OR(D243="材料費",D243="労務費",D243="外注費",D243="経費")),"費目を4つから選んでください",IF(K243="",IF(AND(ISNUMBER(F243),NOT(ISNUMBER(J243))),IF(D243="労務費","単価がありません（設定の作業者名と同じ書き方に）","単価がありません"),IF(AND(ISNUMBER(J243),NOT(ISNUMBER(F243))),"数量がありません","金額がありません")),IF(NOT(ISNUMBER(A243)),"日付がありません（月別集計に入りません）",IF(AND(ISNUMBER(F243),ISNUMBER(J243),ISNUMBER(I243)),"数量×単価を使いました（金額の欄は使っていません）","")))))))</f>
        <v/>
      </c>
      <c r="N243" s="91">
        <f>IF(AND(B243&lt;&gt;"",B243='案件カード'!$C$3),COUNTIF($B$5:B243,'案件カード'!$C$3),"")</f>
        <v/>
      </c>
      <c r="O243" s="91">
        <f>IF(ISNUMBER(K243),IF(B243="",K243,IF(AND(ISNUMBER(MATCH(B243,'案件'!$A$6:$A$105,0)),OR(D243="材料費",D243="労務費",D243="外注費",D243="経費")),0,K243)),0)</f>
        <v/>
      </c>
    </row>
    <row r="244" ht="16" customHeight="1">
      <c r="A244" s="35" t="n"/>
      <c r="B244" s="36" t="n"/>
      <c r="C244" s="37">
        <f>IF(B244="","",IFERROR(INDEX('案件'!$B$6:$B$105,MATCH(B244,'案件'!$A$6:$A$105,0))&amp;"","（案件シートに無い番号）"))</f>
        <v/>
      </c>
      <c r="D244" s="36" t="n"/>
      <c r="E244" s="38" t="n"/>
      <c r="F244" s="39" t="n"/>
      <c r="G244" s="36" t="n"/>
      <c r="H244" s="40" t="n"/>
      <c r="I244" s="40" t="n"/>
      <c r="J244" s="41">
        <f>IF(ISNUMBER(H244),H244,IF(AND(D244="労務費",TRIM(E244)&lt;&gt;""),IFERROR(INDEX('設定'!$G$12:$G$31,MATCH(TRIM(E244),'設定'!$J$12:$J$31,0)),""),""))</f>
        <v/>
      </c>
      <c r="K244" s="30">
        <f>IF(AND(ISNUMBER(F244),ISNUMBER(J244)),ROUND(F244*J244,0),IF(ISNUMBER(I244),I244,""))</f>
        <v/>
      </c>
      <c r="L244" s="33" t="n"/>
      <c r="M244" s="34">
        <f>IF(COUNTA(A244:B244,D244:I244,L244)=0,"",IF(B244="","案件番号がありません",IF(ISNA(MATCH(B244,'案件'!$A$6:$A$105,0)),"案件シートに無い番号です",IF(NOT(OR(D244="材料費",D244="労務費",D244="外注費",D244="経費")),"費目を4つから選んでください",IF(K244="",IF(AND(ISNUMBER(F244),NOT(ISNUMBER(J244))),IF(D244="労務費","単価がありません（設定の作業者名と同じ書き方に）","単価がありません"),IF(AND(ISNUMBER(J244),NOT(ISNUMBER(F244))),"数量がありません","金額がありません")),IF(NOT(ISNUMBER(A244)),"日付がありません（月別集計に入りません）",IF(AND(ISNUMBER(F244),ISNUMBER(J244),ISNUMBER(I244)),"数量×単価を使いました（金額の欄は使っていません）","")))))))</f>
        <v/>
      </c>
      <c r="N244" s="91">
        <f>IF(AND(B244&lt;&gt;"",B244='案件カード'!$C$3),COUNTIF($B$5:B244,'案件カード'!$C$3),"")</f>
        <v/>
      </c>
      <c r="O244" s="91">
        <f>IF(ISNUMBER(K244),IF(B244="",K244,IF(AND(ISNUMBER(MATCH(B244,'案件'!$A$6:$A$105,0)),OR(D244="材料費",D244="労務費",D244="外注費",D244="経費")),0,K244)),0)</f>
        <v/>
      </c>
    </row>
    <row r="245" ht="16" customHeight="1">
      <c r="A245" s="35" t="n"/>
      <c r="B245" s="36" t="n"/>
      <c r="C245" s="37">
        <f>IF(B245="","",IFERROR(INDEX('案件'!$B$6:$B$105,MATCH(B245,'案件'!$A$6:$A$105,0))&amp;"","（案件シートに無い番号）"))</f>
        <v/>
      </c>
      <c r="D245" s="36" t="n"/>
      <c r="E245" s="38" t="n"/>
      <c r="F245" s="39" t="n"/>
      <c r="G245" s="36" t="n"/>
      <c r="H245" s="40" t="n"/>
      <c r="I245" s="40" t="n"/>
      <c r="J245" s="41">
        <f>IF(ISNUMBER(H245),H245,IF(AND(D245="労務費",TRIM(E245)&lt;&gt;""),IFERROR(INDEX('設定'!$G$12:$G$31,MATCH(TRIM(E245),'設定'!$J$12:$J$31,0)),""),""))</f>
        <v/>
      </c>
      <c r="K245" s="30">
        <f>IF(AND(ISNUMBER(F245),ISNUMBER(J245)),ROUND(F245*J245,0),IF(ISNUMBER(I245),I245,""))</f>
        <v/>
      </c>
      <c r="L245" s="33" t="n"/>
      <c r="M245" s="34">
        <f>IF(COUNTA(A245:B245,D245:I245,L245)=0,"",IF(B245="","案件番号がありません",IF(ISNA(MATCH(B245,'案件'!$A$6:$A$105,0)),"案件シートに無い番号です",IF(NOT(OR(D245="材料費",D245="労務費",D245="外注費",D245="経費")),"費目を4つから選んでください",IF(K245="",IF(AND(ISNUMBER(F245),NOT(ISNUMBER(J245))),IF(D245="労務費","単価がありません（設定の作業者名と同じ書き方に）","単価がありません"),IF(AND(ISNUMBER(J245),NOT(ISNUMBER(F245))),"数量がありません","金額がありません")),IF(NOT(ISNUMBER(A245)),"日付がありません（月別集計に入りません）",IF(AND(ISNUMBER(F245),ISNUMBER(J245),ISNUMBER(I245)),"数量×単価を使いました（金額の欄は使っていません）","")))))))</f>
        <v/>
      </c>
      <c r="N245" s="91">
        <f>IF(AND(B245&lt;&gt;"",B245='案件カード'!$C$3),COUNTIF($B$5:B245,'案件カード'!$C$3),"")</f>
        <v/>
      </c>
      <c r="O245" s="91">
        <f>IF(ISNUMBER(K245),IF(B245="",K245,IF(AND(ISNUMBER(MATCH(B245,'案件'!$A$6:$A$105,0)),OR(D245="材料費",D245="労務費",D245="外注費",D245="経費")),0,K245)),0)</f>
        <v/>
      </c>
    </row>
    <row r="246" ht="16" customHeight="1">
      <c r="A246" s="35" t="n"/>
      <c r="B246" s="36" t="n"/>
      <c r="C246" s="37">
        <f>IF(B246="","",IFERROR(INDEX('案件'!$B$6:$B$105,MATCH(B246,'案件'!$A$6:$A$105,0))&amp;"","（案件シートに無い番号）"))</f>
        <v/>
      </c>
      <c r="D246" s="36" t="n"/>
      <c r="E246" s="38" t="n"/>
      <c r="F246" s="39" t="n"/>
      <c r="G246" s="36" t="n"/>
      <c r="H246" s="40" t="n"/>
      <c r="I246" s="40" t="n"/>
      <c r="J246" s="41">
        <f>IF(ISNUMBER(H246),H246,IF(AND(D246="労務費",TRIM(E246)&lt;&gt;""),IFERROR(INDEX('設定'!$G$12:$G$31,MATCH(TRIM(E246),'設定'!$J$12:$J$31,0)),""),""))</f>
        <v/>
      </c>
      <c r="K246" s="30">
        <f>IF(AND(ISNUMBER(F246),ISNUMBER(J246)),ROUND(F246*J246,0),IF(ISNUMBER(I246),I246,""))</f>
        <v/>
      </c>
      <c r="L246" s="33" t="n"/>
      <c r="M246" s="34">
        <f>IF(COUNTA(A246:B246,D246:I246,L246)=0,"",IF(B246="","案件番号がありません",IF(ISNA(MATCH(B246,'案件'!$A$6:$A$105,0)),"案件シートに無い番号です",IF(NOT(OR(D246="材料費",D246="労務費",D246="外注費",D246="経費")),"費目を4つから選んでください",IF(K246="",IF(AND(ISNUMBER(F246),NOT(ISNUMBER(J246))),IF(D246="労務費","単価がありません（設定の作業者名と同じ書き方に）","単価がありません"),IF(AND(ISNUMBER(J246),NOT(ISNUMBER(F246))),"数量がありません","金額がありません")),IF(NOT(ISNUMBER(A246)),"日付がありません（月別集計に入りません）",IF(AND(ISNUMBER(F246),ISNUMBER(J246),ISNUMBER(I246)),"数量×単価を使いました（金額の欄は使っていません）","")))))))</f>
        <v/>
      </c>
      <c r="N246" s="91">
        <f>IF(AND(B246&lt;&gt;"",B246='案件カード'!$C$3),COUNTIF($B$5:B246,'案件カード'!$C$3),"")</f>
        <v/>
      </c>
      <c r="O246" s="91">
        <f>IF(ISNUMBER(K246),IF(B246="",K246,IF(AND(ISNUMBER(MATCH(B246,'案件'!$A$6:$A$105,0)),OR(D246="材料費",D246="労務費",D246="外注費",D246="経費")),0,K246)),0)</f>
        <v/>
      </c>
    </row>
    <row r="247" ht="16" customHeight="1">
      <c r="A247" s="35" t="n"/>
      <c r="B247" s="36" t="n"/>
      <c r="C247" s="37">
        <f>IF(B247="","",IFERROR(INDEX('案件'!$B$6:$B$105,MATCH(B247,'案件'!$A$6:$A$105,0))&amp;"","（案件シートに無い番号）"))</f>
        <v/>
      </c>
      <c r="D247" s="36" t="n"/>
      <c r="E247" s="38" t="n"/>
      <c r="F247" s="39" t="n"/>
      <c r="G247" s="36" t="n"/>
      <c r="H247" s="40" t="n"/>
      <c r="I247" s="40" t="n"/>
      <c r="J247" s="41">
        <f>IF(ISNUMBER(H247),H247,IF(AND(D247="労務費",TRIM(E247)&lt;&gt;""),IFERROR(INDEX('設定'!$G$12:$G$31,MATCH(TRIM(E247),'設定'!$J$12:$J$31,0)),""),""))</f>
        <v/>
      </c>
      <c r="K247" s="30">
        <f>IF(AND(ISNUMBER(F247),ISNUMBER(J247)),ROUND(F247*J247,0),IF(ISNUMBER(I247),I247,""))</f>
        <v/>
      </c>
      <c r="L247" s="33" t="n"/>
      <c r="M247" s="34">
        <f>IF(COUNTA(A247:B247,D247:I247,L247)=0,"",IF(B247="","案件番号がありません",IF(ISNA(MATCH(B247,'案件'!$A$6:$A$105,0)),"案件シートに無い番号です",IF(NOT(OR(D247="材料費",D247="労務費",D247="外注費",D247="経費")),"費目を4つから選んでください",IF(K247="",IF(AND(ISNUMBER(F247),NOT(ISNUMBER(J247))),IF(D247="労務費","単価がありません（設定の作業者名と同じ書き方に）","単価がありません"),IF(AND(ISNUMBER(J247),NOT(ISNUMBER(F247))),"数量がありません","金額がありません")),IF(NOT(ISNUMBER(A247)),"日付がありません（月別集計に入りません）",IF(AND(ISNUMBER(F247),ISNUMBER(J247),ISNUMBER(I247)),"数量×単価を使いました（金額の欄は使っていません）","")))))))</f>
        <v/>
      </c>
      <c r="N247" s="91">
        <f>IF(AND(B247&lt;&gt;"",B247='案件カード'!$C$3),COUNTIF($B$5:B247,'案件カード'!$C$3),"")</f>
        <v/>
      </c>
      <c r="O247" s="91">
        <f>IF(ISNUMBER(K247),IF(B247="",K247,IF(AND(ISNUMBER(MATCH(B247,'案件'!$A$6:$A$105,0)),OR(D247="材料費",D247="労務費",D247="外注費",D247="経費")),0,K247)),0)</f>
        <v/>
      </c>
    </row>
    <row r="248" ht="16" customHeight="1">
      <c r="A248" s="35" t="n"/>
      <c r="B248" s="36" t="n"/>
      <c r="C248" s="37">
        <f>IF(B248="","",IFERROR(INDEX('案件'!$B$6:$B$105,MATCH(B248,'案件'!$A$6:$A$105,0))&amp;"","（案件シートに無い番号）"))</f>
        <v/>
      </c>
      <c r="D248" s="36" t="n"/>
      <c r="E248" s="38" t="n"/>
      <c r="F248" s="39" t="n"/>
      <c r="G248" s="36" t="n"/>
      <c r="H248" s="40" t="n"/>
      <c r="I248" s="40" t="n"/>
      <c r="J248" s="41">
        <f>IF(ISNUMBER(H248),H248,IF(AND(D248="労務費",TRIM(E248)&lt;&gt;""),IFERROR(INDEX('設定'!$G$12:$G$31,MATCH(TRIM(E248),'設定'!$J$12:$J$31,0)),""),""))</f>
        <v/>
      </c>
      <c r="K248" s="30">
        <f>IF(AND(ISNUMBER(F248),ISNUMBER(J248)),ROUND(F248*J248,0),IF(ISNUMBER(I248),I248,""))</f>
        <v/>
      </c>
      <c r="L248" s="33" t="n"/>
      <c r="M248" s="34">
        <f>IF(COUNTA(A248:B248,D248:I248,L248)=0,"",IF(B248="","案件番号がありません",IF(ISNA(MATCH(B248,'案件'!$A$6:$A$105,0)),"案件シートに無い番号です",IF(NOT(OR(D248="材料費",D248="労務費",D248="外注費",D248="経費")),"費目を4つから選んでください",IF(K248="",IF(AND(ISNUMBER(F248),NOT(ISNUMBER(J248))),IF(D248="労務費","単価がありません（設定の作業者名と同じ書き方に）","単価がありません"),IF(AND(ISNUMBER(J248),NOT(ISNUMBER(F248))),"数量がありません","金額がありません")),IF(NOT(ISNUMBER(A248)),"日付がありません（月別集計に入りません）",IF(AND(ISNUMBER(F248),ISNUMBER(J248),ISNUMBER(I248)),"数量×単価を使いました（金額の欄は使っていません）","")))))))</f>
        <v/>
      </c>
      <c r="N248" s="91">
        <f>IF(AND(B248&lt;&gt;"",B248='案件カード'!$C$3),COUNTIF($B$5:B248,'案件カード'!$C$3),"")</f>
        <v/>
      </c>
      <c r="O248" s="91">
        <f>IF(ISNUMBER(K248),IF(B248="",K248,IF(AND(ISNUMBER(MATCH(B248,'案件'!$A$6:$A$105,0)),OR(D248="材料費",D248="労務費",D248="外注費",D248="経費")),0,K248)),0)</f>
        <v/>
      </c>
    </row>
    <row r="249" ht="16" customHeight="1">
      <c r="A249" s="35" t="n"/>
      <c r="B249" s="36" t="n"/>
      <c r="C249" s="37">
        <f>IF(B249="","",IFERROR(INDEX('案件'!$B$6:$B$105,MATCH(B249,'案件'!$A$6:$A$105,0))&amp;"","（案件シートに無い番号）"))</f>
        <v/>
      </c>
      <c r="D249" s="36" t="n"/>
      <c r="E249" s="38" t="n"/>
      <c r="F249" s="39" t="n"/>
      <c r="G249" s="36" t="n"/>
      <c r="H249" s="40" t="n"/>
      <c r="I249" s="40" t="n"/>
      <c r="J249" s="41">
        <f>IF(ISNUMBER(H249),H249,IF(AND(D249="労務費",TRIM(E249)&lt;&gt;""),IFERROR(INDEX('設定'!$G$12:$G$31,MATCH(TRIM(E249),'設定'!$J$12:$J$31,0)),""),""))</f>
        <v/>
      </c>
      <c r="K249" s="30">
        <f>IF(AND(ISNUMBER(F249),ISNUMBER(J249)),ROUND(F249*J249,0),IF(ISNUMBER(I249),I249,""))</f>
        <v/>
      </c>
      <c r="L249" s="33" t="n"/>
      <c r="M249" s="34">
        <f>IF(COUNTA(A249:B249,D249:I249,L249)=0,"",IF(B249="","案件番号がありません",IF(ISNA(MATCH(B249,'案件'!$A$6:$A$105,0)),"案件シートに無い番号です",IF(NOT(OR(D249="材料費",D249="労務費",D249="外注費",D249="経費")),"費目を4つから選んでください",IF(K249="",IF(AND(ISNUMBER(F249),NOT(ISNUMBER(J249))),IF(D249="労務費","単価がありません（設定の作業者名と同じ書き方に）","単価がありません"),IF(AND(ISNUMBER(J249),NOT(ISNUMBER(F249))),"数量がありません","金額がありません")),IF(NOT(ISNUMBER(A249)),"日付がありません（月別集計に入りません）",IF(AND(ISNUMBER(F249),ISNUMBER(J249),ISNUMBER(I249)),"数量×単価を使いました（金額の欄は使っていません）","")))))))</f>
        <v/>
      </c>
      <c r="N249" s="91">
        <f>IF(AND(B249&lt;&gt;"",B249='案件カード'!$C$3),COUNTIF($B$5:B249,'案件カード'!$C$3),"")</f>
        <v/>
      </c>
      <c r="O249" s="91">
        <f>IF(ISNUMBER(K249),IF(B249="",K249,IF(AND(ISNUMBER(MATCH(B249,'案件'!$A$6:$A$105,0)),OR(D249="材料費",D249="労務費",D249="外注費",D249="経費")),0,K249)),0)</f>
        <v/>
      </c>
    </row>
    <row r="250" ht="16" customHeight="1">
      <c r="A250" s="35" t="n"/>
      <c r="B250" s="36" t="n"/>
      <c r="C250" s="37">
        <f>IF(B250="","",IFERROR(INDEX('案件'!$B$6:$B$105,MATCH(B250,'案件'!$A$6:$A$105,0))&amp;"","（案件シートに無い番号）"))</f>
        <v/>
      </c>
      <c r="D250" s="36" t="n"/>
      <c r="E250" s="38" t="n"/>
      <c r="F250" s="39" t="n"/>
      <c r="G250" s="36" t="n"/>
      <c r="H250" s="40" t="n"/>
      <c r="I250" s="40" t="n"/>
      <c r="J250" s="41">
        <f>IF(ISNUMBER(H250),H250,IF(AND(D250="労務費",TRIM(E250)&lt;&gt;""),IFERROR(INDEX('設定'!$G$12:$G$31,MATCH(TRIM(E250),'設定'!$J$12:$J$31,0)),""),""))</f>
        <v/>
      </c>
      <c r="K250" s="30">
        <f>IF(AND(ISNUMBER(F250),ISNUMBER(J250)),ROUND(F250*J250,0),IF(ISNUMBER(I250),I250,""))</f>
        <v/>
      </c>
      <c r="L250" s="33" t="n"/>
      <c r="M250" s="34">
        <f>IF(COUNTA(A250:B250,D250:I250,L250)=0,"",IF(B250="","案件番号がありません",IF(ISNA(MATCH(B250,'案件'!$A$6:$A$105,0)),"案件シートに無い番号です",IF(NOT(OR(D250="材料費",D250="労務費",D250="外注費",D250="経費")),"費目を4つから選んでください",IF(K250="",IF(AND(ISNUMBER(F250),NOT(ISNUMBER(J250))),IF(D250="労務費","単価がありません（設定の作業者名と同じ書き方に）","単価がありません"),IF(AND(ISNUMBER(J250),NOT(ISNUMBER(F250))),"数量がありません","金額がありません")),IF(NOT(ISNUMBER(A250)),"日付がありません（月別集計に入りません）",IF(AND(ISNUMBER(F250),ISNUMBER(J250),ISNUMBER(I250)),"数量×単価を使いました（金額の欄は使っていません）","")))))))</f>
        <v/>
      </c>
      <c r="N250" s="91">
        <f>IF(AND(B250&lt;&gt;"",B250='案件カード'!$C$3),COUNTIF($B$5:B250,'案件カード'!$C$3),"")</f>
        <v/>
      </c>
      <c r="O250" s="91">
        <f>IF(ISNUMBER(K250),IF(B250="",K250,IF(AND(ISNUMBER(MATCH(B250,'案件'!$A$6:$A$105,0)),OR(D250="材料費",D250="労務費",D250="外注費",D250="経費")),0,K250)),0)</f>
        <v/>
      </c>
    </row>
    <row r="251" ht="16" customHeight="1">
      <c r="A251" s="35" t="n"/>
      <c r="B251" s="36" t="n"/>
      <c r="C251" s="37">
        <f>IF(B251="","",IFERROR(INDEX('案件'!$B$6:$B$105,MATCH(B251,'案件'!$A$6:$A$105,0))&amp;"","（案件シートに無い番号）"))</f>
        <v/>
      </c>
      <c r="D251" s="36" t="n"/>
      <c r="E251" s="38" t="n"/>
      <c r="F251" s="39" t="n"/>
      <c r="G251" s="36" t="n"/>
      <c r="H251" s="40" t="n"/>
      <c r="I251" s="40" t="n"/>
      <c r="J251" s="41">
        <f>IF(ISNUMBER(H251),H251,IF(AND(D251="労務費",TRIM(E251)&lt;&gt;""),IFERROR(INDEX('設定'!$G$12:$G$31,MATCH(TRIM(E251),'設定'!$J$12:$J$31,0)),""),""))</f>
        <v/>
      </c>
      <c r="K251" s="30">
        <f>IF(AND(ISNUMBER(F251),ISNUMBER(J251)),ROUND(F251*J251,0),IF(ISNUMBER(I251),I251,""))</f>
        <v/>
      </c>
      <c r="L251" s="33" t="n"/>
      <c r="M251" s="34">
        <f>IF(COUNTA(A251:B251,D251:I251,L251)=0,"",IF(B251="","案件番号がありません",IF(ISNA(MATCH(B251,'案件'!$A$6:$A$105,0)),"案件シートに無い番号です",IF(NOT(OR(D251="材料費",D251="労務費",D251="外注費",D251="経費")),"費目を4つから選んでください",IF(K251="",IF(AND(ISNUMBER(F251),NOT(ISNUMBER(J251))),IF(D251="労務費","単価がありません（設定の作業者名と同じ書き方に）","単価がありません"),IF(AND(ISNUMBER(J251),NOT(ISNUMBER(F251))),"数量がありません","金額がありません")),IF(NOT(ISNUMBER(A251)),"日付がありません（月別集計に入りません）",IF(AND(ISNUMBER(F251),ISNUMBER(J251),ISNUMBER(I251)),"数量×単価を使いました（金額の欄は使っていません）","")))))))</f>
        <v/>
      </c>
      <c r="N251" s="91">
        <f>IF(AND(B251&lt;&gt;"",B251='案件カード'!$C$3),COUNTIF($B$5:B251,'案件カード'!$C$3),"")</f>
        <v/>
      </c>
      <c r="O251" s="91">
        <f>IF(ISNUMBER(K251),IF(B251="",K251,IF(AND(ISNUMBER(MATCH(B251,'案件'!$A$6:$A$105,0)),OR(D251="材料費",D251="労務費",D251="外注費",D251="経費")),0,K251)),0)</f>
        <v/>
      </c>
    </row>
    <row r="252" ht="16" customHeight="1">
      <c r="A252" s="35" t="n"/>
      <c r="B252" s="36" t="n"/>
      <c r="C252" s="37">
        <f>IF(B252="","",IFERROR(INDEX('案件'!$B$6:$B$105,MATCH(B252,'案件'!$A$6:$A$105,0))&amp;"","（案件シートに無い番号）"))</f>
        <v/>
      </c>
      <c r="D252" s="36" t="n"/>
      <c r="E252" s="38" t="n"/>
      <c r="F252" s="39" t="n"/>
      <c r="G252" s="36" t="n"/>
      <c r="H252" s="40" t="n"/>
      <c r="I252" s="40" t="n"/>
      <c r="J252" s="41">
        <f>IF(ISNUMBER(H252),H252,IF(AND(D252="労務費",TRIM(E252)&lt;&gt;""),IFERROR(INDEX('設定'!$G$12:$G$31,MATCH(TRIM(E252),'設定'!$J$12:$J$31,0)),""),""))</f>
        <v/>
      </c>
      <c r="K252" s="30">
        <f>IF(AND(ISNUMBER(F252),ISNUMBER(J252)),ROUND(F252*J252,0),IF(ISNUMBER(I252),I252,""))</f>
        <v/>
      </c>
      <c r="L252" s="33" t="n"/>
      <c r="M252" s="34">
        <f>IF(COUNTA(A252:B252,D252:I252,L252)=0,"",IF(B252="","案件番号がありません",IF(ISNA(MATCH(B252,'案件'!$A$6:$A$105,0)),"案件シートに無い番号です",IF(NOT(OR(D252="材料費",D252="労務費",D252="外注費",D252="経費")),"費目を4つから選んでください",IF(K252="",IF(AND(ISNUMBER(F252),NOT(ISNUMBER(J252))),IF(D252="労務費","単価がありません（設定の作業者名と同じ書き方に）","単価がありません"),IF(AND(ISNUMBER(J252),NOT(ISNUMBER(F252))),"数量がありません","金額がありません")),IF(NOT(ISNUMBER(A252)),"日付がありません（月別集計に入りません）",IF(AND(ISNUMBER(F252),ISNUMBER(J252),ISNUMBER(I252)),"数量×単価を使いました（金額の欄は使っていません）","")))))))</f>
        <v/>
      </c>
      <c r="N252" s="91">
        <f>IF(AND(B252&lt;&gt;"",B252='案件カード'!$C$3),COUNTIF($B$5:B252,'案件カード'!$C$3),"")</f>
        <v/>
      </c>
      <c r="O252" s="91">
        <f>IF(ISNUMBER(K252),IF(B252="",K252,IF(AND(ISNUMBER(MATCH(B252,'案件'!$A$6:$A$105,0)),OR(D252="材料費",D252="労務費",D252="外注費",D252="経費")),0,K252)),0)</f>
        <v/>
      </c>
    </row>
    <row r="253" ht="16" customHeight="1">
      <c r="A253" s="35" t="n"/>
      <c r="B253" s="36" t="n"/>
      <c r="C253" s="37">
        <f>IF(B253="","",IFERROR(INDEX('案件'!$B$6:$B$105,MATCH(B253,'案件'!$A$6:$A$105,0))&amp;"","（案件シートに無い番号）"))</f>
        <v/>
      </c>
      <c r="D253" s="36" t="n"/>
      <c r="E253" s="38" t="n"/>
      <c r="F253" s="39" t="n"/>
      <c r="G253" s="36" t="n"/>
      <c r="H253" s="40" t="n"/>
      <c r="I253" s="40" t="n"/>
      <c r="J253" s="41">
        <f>IF(ISNUMBER(H253),H253,IF(AND(D253="労務費",TRIM(E253)&lt;&gt;""),IFERROR(INDEX('設定'!$G$12:$G$31,MATCH(TRIM(E253),'設定'!$J$12:$J$31,0)),""),""))</f>
        <v/>
      </c>
      <c r="K253" s="30">
        <f>IF(AND(ISNUMBER(F253),ISNUMBER(J253)),ROUND(F253*J253,0),IF(ISNUMBER(I253),I253,""))</f>
        <v/>
      </c>
      <c r="L253" s="33" t="n"/>
      <c r="M253" s="34">
        <f>IF(COUNTA(A253:B253,D253:I253,L253)=0,"",IF(B253="","案件番号がありません",IF(ISNA(MATCH(B253,'案件'!$A$6:$A$105,0)),"案件シートに無い番号です",IF(NOT(OR(D253="材料費",D253="労務費",D253="外注費",D253="経費")),"費目を4つから選んでください",IF(K253="",IF(AND(ISNUMBER(F253),NOT(ISNUMBER(J253))),IF(D253="労務費","単価がありません（設定の作業者名と同じ書き方に）","単価がありません"),IF(AND(ISNUMBER(J253),NOT(ISNUMBER(F253))),"数量がありません","金額がありません")),IF(NOT(ISNUMBER(A253)),"日付がありません（月別集計に入りません）",IF(AND(ISNUMBER(F253),ISNUMBER(J253),ISNUMBER(I253)),"数量×単価を使いました（金額の欄は使っていません）","")))))))</f>
        <v/>
      </c>
      <c r="N253" s="91">
        <f>IF(AND(B253&lt;&gt;"",B253='案件カード'!$C$3),COUNTIF($B$5:B253,'案件カード'!$C$3),"")</f>
        <v/>
      </c>
      <c r="O253" s="91">
        <f>IF(ISNUMBER(K253),IF(B253="",K253,IF(AND(ISNUMBER(MATCH(B253,'案件'!$A$6:$A$105,0)),OR(D253="材料費",D253="労務費",D253="外注費",D253="経費")),0,K253)),0)</f>
        <v/>
      </c>
    </row>
    <row r="254" ht="16" customHeight="1">
      <c r="A254" s="35" t="n"/>
      <c r="B254" s="36" t="n"/>
      <c r="C254" s="37">
        <f>IF(B254="","",IFERROR(INDEX('案件'!$B$6:$B$105,MATCH(B254,'案件'!$A$6:$A$105,0))&amp;"","（案件シートに無い番号）"))</f>
        <v/>
      </c>
      <c r="D254" s="36" t="n"/>
      <c r="E254" s="38" t="n"/>
      <c r="F254" s="39" t="n"/>
      <c r="G254" s="36" t="n"/>
      <c r="H254" s="40" t="n"/>
      <c r="I254" s="40" t="n"/>
      <c r="J254" s="41">
        <f>IF(ISNUMBER(H254),H254,IF(AND(D254="労務費",TRIM(E254)&lt;&gt;""),IFERROR(INDEX('設定'!$G$12:$G$31,MATCH(TRIM(E254),'設定'!$J$12:$J$31,0)),""),""))</f>
        <v/>
      </c>
      <c r="K254" s="30">
        <f>IF(AND(ISNUMBER(F254),ISNUMBER(J254)),ROUND(F254*J254,0),IF(ISNUMBER(I254),I254,""))</f>
        <v/>
      </c>
      <c r="L254" s="33" t="n"/>
      <c r="M254" s="34">
        <f>IF(COUNTA(A254:B254,D254:I254,L254)=0,"",IF(B254="","案件番号がありません",IF(ISNA(MATCH(B254,'案件'!$A$6:$A$105,0)),"案件シートに無い番号です",IF(NOT(OR(D254="材料費",D254="労務費",D254="外注費",D254="経費")),"費目を4つから選んでください",IF(K254="",IF(AND(ISNUMBER(F254),NOT(ISNUMBER(J254))),IF(D254="労務費","単価がありません（設定の作業者名と同じ書き方に）","単価がありません"),IF(AND(ISNUMBER(J254),NOT(ISNUMBER(F254))),"数量がありません","金額がありません")),IF(NOT(ISNUMBER(A254)),"日付がありません（月別集計に入りません）",IF(AND(ISNUMBER(F254),ISNUMBER(J254),ISNUMBER(I254)),"数量×単価を使いました（金額の欄は使っていません）","")))))))</f>
        <v/>
      </c>
      <c r="N254" s="91">
        <f>IF(AND(B254&lt;&gt;"",B254='案件カード'!$C$3),COUNTIF($B$5:B254,'案件カード'!$C$3),"")</f>
        <v/>
      </c>
      <c r="O254" s="91">
        <f>IF(ISNUMBER(K254),IF(B254="",K254,IF(AND(ISNUMBER(MATCH(B254,'案件'!$A$6:$A$105,0)),OR(D254="材料費",D254="労務費",D254="外注費",D254="経費")),0,K254)),0)</f>
        <v/>
      </c>
    </row>
    <row r="255" ht="16" customHeight="1">
      <c r="A255" s="35" t="n"/>
      <c r="B255" s="36" t="n"/>
      <c r="C255" s="37">
        <f>IF(B255="","",IFERROR(INDEX('案件'!$B$6:$B$105,MATCH(B255,'案件'!$A$6:$A$105,0))&amp;"","（案件シートに無い番号）"))</f>
        <v/>
      </c>
      <c r="D255" s="36" t="n"/>
      <c r="E255" s="38" t="n"/>
      <c r="F255" s="39" t="n"/>
      <c r="G255" s="36" t="n"/>
      <c r="H255" s="40" t="n"/>
      <c r="I255" s="40" t="n"/>
      <c r="J255" s="41">
        <f>IF(ISNUMBER(H255),H255,IF(AND(D255="労務費",TRIM(E255)&lt;&gt;""),IFERROR(INDEX('設定'!$G$12:$G$31,MATCH(TRIM(E255),'設定'!$J$12:$J$31,0)),""),""))</f>
        <v/>
      </c>
      <c r="K255" s="30">
        <f>IF(AND(ISNUMBER(F255),ISNUMBER(J255)),ROUND(F255*J255,0),IF(ISNUMBER(I255),I255,""))</f>
        <v/>
      </c>
      <c r="L255" s="33" t="n"/>
      <c r="M255" s="34">
        <f>IF(COUNTA(A255:B255,D255:I255,L255)=0,"",IF(B255="","案件番号がありません",IF(ISNA(MATCH(B255,'案件'!$A$6:$A$105,0)),"案件シートに無い番号です",IF(NOT(OR(D255="材料費",D255="労務費",D255="外注費",D255="経費")),"費目を4つから選んでください",IF(K255="",IF(AND(ISNUMBER(F255),NOT(ISNUMBER(J255))),IF(D255="労務費","単価がありません（設定の作業者名と同じ書き方に）","単価がありません"),IF(AND(ISNUMBER(J255),NOT(ISNUMBER(F255))),"数量がありません","金額がありません")),IF(NOT(ISNUMBER(A255)),"日付がありません（月別集計に入りません）",IF(AND(ISNUMBER(F255),ISNUMBER(J255),ISNUMBER(I255)),"数量×単価を使いました（金額の欄は使っていません）","")))))))</f>
        <v/>
      </c>
      <c r="N255" s="91">
        <f>IF(AND(B255&lt;&gt;"",B255='案件カード'!$C$3),COUNTIF($B$5:B255,'案件カード'!$C$3),"")</f>
        <v/>
      </c>
      <c r="O255" s="91">
        <f>IF(ISNUMBER(K255),IF(B255="",K255,IF(AND(ISNUMBER(MATCH(B255,'案件'!$A$6:$A$105,0)),OR(D255="材料費",D255="労務費",D255="外注費",D255="経費")),0,K255)),0)</f>
        <v/>
      </c>
    </row>
    <row r="256" ht="16" customHeight="1">
      <c r="A256" s="35" t="n"/>
      <c r="B256" s="36" t="n"/>
      <c r="C256" s="37">
        <f>IF(B256="","",IFERROR(INDEX('案件'!$B$6:$B$105,MATCH(B256,'案件'!$A$6:$A$105,0))&amp;"","（案件シートに無い番号）"))</f>
        <v/>
      </c>
      <c r="D256" s="36" t="n"/>
      <c r="E256" s="38" t="n"/>
      <c r="F256" s="39" t="n"/>
      <c r="G256" s="36" t="n"/>
      <c r="H256" s="40" t="n"/>
      <c r="I256" s="40" t="n"/>
      <c r="J256" s="41">
        <f>IF(ISNUMBER(H256),H256,IF(AND(D256="労務費",TRIM(E256)&lt;&gt;""),IFERROR(INDEX('設定'!$G$12:$G$31,MATCH(TRIM(E256),'設定'!$J$12:$J$31,0)),""),""))</f>
        <v/>
      </c>
      <c r="K256" s="30">
        <f>IF(AND(ISNUMBER(F256),ISNUMBER(J256)),ROUND(F256*J256,0),IF(ISNUMBER(I256),I256,""))</f>
        <v/>
      </c>
      <c r="L256" s="33" t="n"/>
      <c r="M256" s="34">
        <f>IF(COUNTA(A256:B256,D256:I256,L256)=0,"",IF(B256="","案件番号がありません",IF(ISNA(MATCH(B256,'案件'!$A$6:$A$105,0)),"案件シートに無い番号です",IF(NOT(OR(D256="材料費",D256="労務費",D256="外注費",D256="経費")),"費目を4つから選んでください",IF(K256="",IF(AND(ISNUMBER(F256),NOT(ISNUMBER(J256))),IF(D256="労務費","単価がありません（設定の作業者名と同じ書き方に）","単価がありません"),IF(AND(ISNUMBER(J256),NOT(ISNUMBER(F256))),"数量がありません","金額がありません")),IF(NOT(ISNUMBER(A256)),"日付がありません（月別集計に入りません）",IF(AND(ISNUMBER(F256),ISNUMBER(J256),ISNUMBER(I256)),"数量×単価を使いました（金額の欄は使っていません）","")))))))</f>
        <v/>
      </c>
      <c r="N256" s="91">
        <f>IF(AND(B256&lt;&gt;"",B256='案件カード'!$C$3),COUNTIF($B$5:B256,'案件カード'!$C$3),"")</f>
        <v/>
      </c>
      <c r="O256" s="91">
        <f>IF(ISNUMBER(K256),IF(B256="",K256,IF(AND(ISNUMBER(MATCH(B256,'案件'!$A$6:$A$105,0)),OR(D256="材料費",D256="労務費",D256="外注費",D256="経費")),0,K256)),0)</f>
        <v/>
      </c>
    </row>
    <row r="257" ht="16" customHeight="1">
      <c r="A257" s="35" t="n"/>
      <c r="B257" s="36" t="n"/>
      <c r="C257" s="37">
        <f>IF(B257="","",IFERROR(INDEX('案件'!$B$6:$B$105,MATCH(B257,'案件'!$A$6:$A$105,0))&amp;"","（案件シートに無い番号）"))</f>
        <v/>
      </c>
      <c r="D257" s="36" t="n"/>
      <c r="E257" s="38" t="n"/>
      <c r="F257" s="39" t="n"/>
      <c r="G257" s="36" t="n"/>
      <c r="H257" s="40" t="n"/>
      <c r="I257" s="40" t="n"/>
      <c r="J257" s="41">
        <f>IF(ISNUMBER(H257),H257,IF(AND(D257="労務費",TRIM(E257)&lt;&gt;""),IFERROR(INDEX('設定'!$G$12:$G$31,MATCH(TRIM(E257),'設定'!$J$12:$J$31,0)),""),""))</f>
        <v/>
      </c>
      <c r="K257" s="30">
        <f>IF(AND(ISNUMBER(F257),ISNUMBER(J257)),ROUND(F257*J257,0),IF(ISNUMBER(I257),I257,""))</f>
        <v/>
      </c>
      <c r="L257" s="33" t="n"/>
      <c r="M257" s="34">
        <f>IF(COUNTA(A257:B257,D257:I257,L257)=0,"",IF(B257="","案件番号がありません",IF(ISNA(MATCH(B257,'案件'!$A$6:$A$105,0)),"案件シートに無い番号です",IF(NOT(OR(D257="材料費",D257="労務費",D257="外注費",D257="経費")),"費目を4つから選んでください",IF(K257="",IF(AND(ISNUMBER(F257),NOT(ISNUMBER(J257))),IF(D257="労務費","単価がありません（設定の作業者名と同じ書き方に）","単価がありません"),IF(AND(ISNUMBER(J257),NOT(ISNUMBER(F257))),"数量がありません","金額がありません")),IF(NOT(ISNUMBER(A257)),"日付がありません（月別集計に入りません）",IF(AND(ISNUMBER(F257),ISNUMBER(J257),ISNUMBER(I257)),"数量×単価を使いました（金額の欄は使っていません）","")))))))</f>
        <v/>
      </c>
      <c r="N257" s="91">
        <f>IF(AND(B257&lt;&gt;"",B257='案件カード'!$C$3),COUNTIF($B$5:B257,'案件カード'!$C$3),"")</f>
        <v/>
      </c>
      <c r="O257" s="91">
        <f>IF(ISNUMBER(K257),IF(B257="",K257,IF(AND(ISNUMBER(MATCH(B257,'案件'!$A$6:$A$105,0)),OR(D257="材料費",D257="労務費",D257="外注費",D257="経費")),0,K257)),0)</f>
        <v/>
      </c>
    </row>
    <row r="258" ht="16" customHeight="1">
      <c r="A258" s="35" t="n"/>
      <c r="B258" s="36" t="n"/>
      <c r="C258" s="37">
        <f>IF(B258="","",IFERROR(INDEX('案件'!$B$6:$B$105,MATCH(B258,'案件'!$A$6:$A$105,0))&amp;"","（案件シートに無い番号）"))</f>
        <v/>
      </c>
      <c r="D258" s="36" t="n"/>
      <c r="E258" s="38" t="n"/>
      <c r="F258" s="39" t="n"/>
      <c r="G258" s="36" t="n"/>
      <c r="H258" s="40" t="n"/>
      <c r="I258" s="40" t="n"/>
      <c r="J258" s="41">
        <f>IF(ISNUMBER(H258),H258,IF(AND(D258="労務費",TRIM(E258)&lt;&gt;""),IFERROR(INDEX('設定'!$G$12:$G$31,MATCH(TRIM(E258),'設定'!$J$12:$J$31,0)),""),""))</f>
        <v/>
      </c>
      <c r="K258" s="30">
        <f>IF(AND(ISNUMBER(F258),ISNUMBER(J258)),ROUND(F258*J258,0),IF(ISNUMBER(I258),I258,""))</f>
        <v/>
      </c>
      <c r="L258" s="33" t="n"/>
      <c r="M258" s="34">
        <f>IF(COUNTA(A258:B258,D258:I258,L258)=0,"",IF(B258="","案件番号がありません",IF(ISNA(MATCH(B258,'案件'!$A$6:$A$105,0)),"案件シートに無い番号です",IF(NOT(OR(D258="材料費",D258="労務費",D258="外注費",D258="経費")),"費目を4つから選んでください",IF(K258="",IF(AND(ISNUMBER(F258),NOT(ISNUMBER(J258))),IF(D258="労務費","単価がありません（設定の作業者名と同じ書き方に）","単価がありません"),IF(AND(ISNUMBER(J258),NOT(ISNUMBER(F258))),"数量がありません","金額がありません")),IF(NOT(ISNUMBER(A258)),"日付がありません（月別集計に入りません）",IF(AND(ISNUMBER(F258),ISNUMBER(J258),ISNUMBER(I258)),"数量×単価を使いました（金額の欄は使っていません）","")))))))</f>
        <v/>
      </c>
      <c r="N258" s="91">
        <f>IF(AND(B258&lt;&gt;"",B258='案件カード'!$C$3),COUNTIF($B$5:B258,'案件カード'!$C$3),"")</f>
        <v/>
      </c>
      <c r="O258" s="91">
        <f>IF(ISNUMBER(K258),IF(B258="",K258,IF(AND(ISNUMBER(MATCH(B258,'案件'!$A$6:$A$105,0)),OR(D258="材料費",D258="労務費",D258="外注費",D258="経費")),0,K258)),0)</f>
        <v/>
      </c>
    </row>
    <row r="259" ht="16" customHeight="1">
      <c r="A259" s="35" t="n"/>
      <c r="B259" s="36" t="n"/>
      <c r="C259" s="37">
        <f>IF(B259="","",IFERROR(INDEX('案件'!$B$6:$B$105,MATCH(B259,'案件'!$A$6:$A$105,0))&amp;"","（案件シートに無い番号）"))</f>
        <v/>
      </c>
      <c r="D259" s="36" t="n"/>
      <c r="E259" s="38" t="n"/>
      <c r="F259" s="39" t="n"/>
      <c r="G259" s="36" t="n"/>
      <c r="H259" s="40" t="n"/>
      <c r="I259" s="40" t="n"/>
      <c r="J259" s="41">
        <f>IF(ISNUMBER(H259),H259,IF(AND(D259="労務費",TRIM(E259)&lt;&gt;""),IFERROR(INDEX('設定'!$G$12:$G$31,MATCH(TRIM(E259),'設定'!$J$12:$J$31,0)),""),""))</f>
        <v/>
      </c>
      <c r="K259" s="30">
        <f>IF(AND(ISNUMBER(F259),ISNUMBER(J259)),ROUND(F259*J259,0),IF(ISNUMBER(I259),I259,""))</f>
        <v/>
      </c>
      <c r="L259" s="33" t="n"/>
      <c r="M259" s="34">
        <f>IF(COUNTA(A259:B259,D259:I259,L259)=0,"",IF(B259="","案件番号がありません",IF(ISNA(MATCH(B259,'案件'!$A$6:$A$105,0)),"案件シートに無い番号です",IF(NOT(OR(D259="材料費",D259="労務費",D259="外注費",D259="経費")),"費目を4つから選んでください",IF(K259="",IF(AND(ISNUMBER(F259),NOT(ISNUMBER(J259))),IF(D259="労務費","単価がありません（設定の作業者名と同じ書き方に）","単価がありません"),IF(AND(ISNUMBER(J259),NOT(ISNUMBER(F259))),"数量がありません","金額がありません")),IF(NOT(ISNUMBER(A259)),"日付がありません（月別集計に入りません）",IF(AND(ISNUMBER(F259),ISNUMBER(J259),ISNUMBER(I259)),"数量×単価を使いました（金額の欄は使っていません）","")))))))</f>
        <v/>
      </c>
      <c r="N259" s="91">
        <f>IF(AND(B259&lt;&gt;"",B259='案件カード'!$C$3),COUNTIF($B$5:B259,'案件カード'!$C$3),"")</f>
        <v/>
      </c>
      <c r="O259" s="91">
        <f>IF(ISNUMBER(K259),IF(B259="",K259,IF(AND(ISNUMBER(MATCH(B259,'案件'!$A$6:$A$105,0)),OR(D259="材料費",D259="労務費",D259="外注費",D259="経費")),0,K259)),0)</f>
        <v/>
      </c>
    </row>
    <row r="260" ht="16" customHeight="1">
      <c r="A260" s="35" t="n"/>
      <c r="B260" s="36" t="n"/>
      <c r="C260" s="37">
        <f>IF(B260="","",IFERROR(INDEX('案件'!$B$6:$B$105,MATCH(B260,'案件'!$A$6:$A$105,0))&amp;"","（案件シートに無い番号）"))</f>
        <v/>
      </c>
      <c r="D260" s="36" t="n"/>
      <c r="E260" s="38" t="n"/>
      <c r="F260" s="39" t="n"/>
      <c r="G260" s="36" t="n"/>
      <c r="H260" s="40" t="n"/>
      <c r="I260" s="40" t="n"/>
      <c r="J260" s="41">
        <f>IF(ISNUMBER(H260),H260,IF(AND(D260="労務費",TRIM(E260)&lt;&gt;""),IFERROR(INDEX('設定'!$G$12:$G$31,MATCH(TRIM(E260),'設定'!$J$12:$J$31,0)),""),""))</f>
        <v/>
      </c>
      <c r="K260" s="30">
        <f>IF(AND(ISNUMBER(F260),ISNUMBER(J260)),ROUND(F260*J260,0),IF(ISNUMBER(I260),I260,""))</f>
        <v/>
      </c>
      <c r="L260" s="33" t="n"/>
      <c r="M260" s="34">
        <f>IF(COUNTA(A260:B260,D260:I260,L260)=0,"",IF(B260="","案件番号がありません",IF(ISNA(MATCH(B260,'案件'!$A$6:$A$105,0)),"案件シートに無い番号です",IF(NOT(OR(D260="材料費",D260="労務費",D260="外注費",D260="経費")),"費目を4つから選んでください",IF(K260="",IF(AND(ISNUMBER(F260),NOT(ISNUMBER(J260))),IF(D260="労務費","単価がありません（設定の作業者名と同じ書き方に）","単価がありません"),IF(AND(ISNUMBER(J260),NOT(ISNUMBER(F260))),"数量がありません","金額がありません")),IF(NOT(ISNUMBER(A260)),"日付がありません（月別集計に入りません）",IF(AND(ISNUMBER(F260),ISNUMBER(J260),ISNUMBER(I260)),"数量×単価を使いました（金額の欄は使っていません）","")))))))</f>
        <v/>
      </c>
      <c r="N260" s="91">
        <f>IF(AND(B260&lt;&gt;"",B260='案件カード'!$C$3),COUNTIF($B$5:B260,'案件カード'!$C$3),"")</f>
        <v/>
      </c>
      <c r="O260" s="91">
        <f>IF(ISNUMBER(K260),IF(B260="",K260,IF(AND(ISNUMBER(MATCH(B260,'案件'!$A$6:$A$105,0)),OR(D260="材料費",D260="労務費",D260="外注費",D260="経費")),0,K260)),0)</f>
        <v/>
      </c>
    </row>
    <row r="261" ht="16" customHeight="1">
      <c r="A261" s="35" t="n"/>
      <c r="B261" s="36" t="n"/>
      <c r="C261" s="37">
        <f>IF(B261="","",IFERROR(INDEX('案件'!$B$6:$B$105,MATCH(B261,'案件'!$A$6:$A$105,0))&amp;"","（案件シートに無い番号）"))</f>
        <v/>
      </c>
      <c r="D261" s="36" t="n"/>
      <c r="E261" s="38" t="n"/>
      <c r="F261" s="39" t="n"/>
      <c r="G261" s="36" t="n"/>
      <c r="H261" s="40" t="n"/>
      <c r="I261" s="40" t="n"/>
      <c r="J261" s="41">
        <f>IF(ISNUMBER(H261),H261,IF(AND(D261="労務費",TRIM(E261)&lt;&gt;""),IFERROR(INDEX('設定'!$G$12:$G$31,MATCH(TRIM(E261),'設定'!$J$12:$J$31,0)),""),""))</f>
        <v/>
      </c>
      <c r="K261" s="30">
        <f>IF(AND(ISNUMBER(F261),ISNUMBER(J261)),ROUND(F261*J261,0),IF(ISNUMBER(I261),I261,""))</f>
        <v/>
      </c>
      <c r="L261" s="33" t="n"/>
      <c r="M261" s="34">
        <f>IF(COUNTA(A261:B261,D261:I261,L261)=0,"",IF(B261="","案件番号がありません",IF(ISNA(MATCH(B261,'案件'!$A$6:$A$105,0)),"案件シートに無い番号です",IF(NOT(OR(D261="材料費",D261="労務費",D261="外注費",D261="経費")),"費目を4つから選んでください",IF(K261="",IF(AND(ISNUMBER(F261),NOT(ISNUMBER(J261))),IF(D261="労務費","単価がありません（設定の作業者名と同じ書き方に）","単価がありません"),IF(AND(ISNUMBER(J261),NOT(ISNUMBER(F261))),"数量がありません","金額がありません")),IF(NOT(ISNUMBER(A261)),"日付がありません（月別集計に入りません）",IF(AND(ISNUMBER(F261),ISNUMBER(J261),ISNUMBER(I261)),"数量×単価を使いました（金額の欄は使っていません）","")))))))</f>
        <v/>
      </c>
      <c r="N261" s="91">
        <f>IF(AND(B261&lt;&gt;"",B261='案件カード'!$C$3),COUNTIF($B$5:B261,'案件カード'!$C$3),"")</f>
        <v/>
      </c>
      <c r="O261" s="91">
        <f>IF(ISNUMBER(K261),IF(B261="",K261,IF(AND(ISNUMBER(MATCH(B261,'案件'!$A$6:$A$105,0)),OR(D261="材料費",D261="労務費",D261="外注費",D261="経費")),0,K261)),0)</f>
        <v/>
      </c>
    </row>
    <row r="262" ht="16" customHeight="1">
      <c r="A262" s="35" t="n"/>
      <c r="B262" s="36" t="n"/>
      <c r="C262" s="37">
        <f>IF(B262="","",IFERROR(INDEX('案件'!$B$6:$B$105,MATCH(B262,'案件'!$A$6:$A$105,0))&amp;"","（案件シートに無い番号）"))</f>
        <v/>
      </c>
      <c r="D262" s="36" t="n"/>
      <c r="E262" s="38" t="n"/>
      <c r="F262" s="39" t="n"/>
      <c r="G262" s="36" t="n"/>
      <c r="H262" s="40" t="n"/>
      <c r="I262" s="40" t="n"/>
      <c r="J262" s="41">
        <f>IF(ISNUMBER(H262),H262,IF(AND(D262="労務費",TRIM(E262)&lt;&gt;""),IFERROR(INDEX('設定'!$G$12:$G$31,MATCH(TRIM(E262),'設定'!$J$12:$J$31,0)),""),""))</f>
        <v/>
      </c>
      <c r="K262" s="30">
        <f>IF(AND(ISNUMBER(F262),ISNUMBER(J262)),ROUND(F262*J262,0),IF(ISNUMBER(I262),I262,""))</f>
        <v/>
      </c>
      <c r="L262" s="33" t="n"/>
      <c r="M262" s="34">
        <f>IF(COUNTA(A262:B262,D262:I262,L262)=0,"",IF(B262="","案件番号がありません",IF(ISNA(MATCH(B262,'案件'!$A$6:$A$105,0)),"案件シートに無い番号です",IF(NOT(OR(D262="材料費",D262="労務費",D262="外注費",D262="経費")),"費目を4つから選んでください",IF(K262="",IF(AND(ISNUMBER(F262),NOT(ISNUMBER(J262))),IF(D262="労務費","単価がありません（設定の作業者名と同じ書き方に）","単価がありません"),IF(AND(ISNUMBER(J262),NOT(ISNUMBER(F262))),"数量がありません","金額がありません")),IF(NOT(ISNUMBER(A262)),"日付がありません（月別集計に入りません）",IF(AND(ISNUMBER(F262),ISNUMBER(J262),ISNUMBER(I262)),"数量×単価を使いました（金額の欄は使っていません）","")))))))</f>
        <v/>
      </c>
      <c r="N262" s="91">
        <f>IF(AND(B262&lt;&gt;"",B262='案件カード'!$C$3),COUNTIF($B$5:B262,'案件カード'!$C$3),"")</f>
        <v/>
      </c>
      <c r="O262" s="91">
        <f>IF(ISNUMBER(K262),IF(B262="",K262,IF(AND(ISNUMBER(MATCH(B262,'案件'!$A$6:$A$105,0)),OR(D262="材料費",D262="労務費",D262="外注費",D262="経費")),0,K262)),0)</f>
        <v/>
      </c>
    </row>
    <row r="263" ht="16" customHeight="1">
      <c r="A263" s="35" t="n"/>
      <c r="B263" s="36" t="n"/>
      <c r="C263" s="37">
        <f>IF(B263="","",IFERROR(INDEX('案件'!$B$6:$B$105,MATCH(B263,'案件'!$A$6:$A$105,0))&amp;"","（案件シートに無い番号）"))</f>
        <v/>
      </c>
      <c r="D263" s="36" t="n"/>
      <c r="E263" s="38" t="n"/>
      <c r="F263" s="39" t="n"/>
      <c r="G263" s="36" t="n"/>
      <c r="H263" s="40" t="n"/>
      <c r="I263" s="40" t="n"/>
      <c r="J263" s="41">
        <f>IF(ISNUMBER(H263),H263,IF(AND(D263="労務費",TRIM(E263)&lt;&gt;""),IFERROR(INDEX('設定'!$G$12:$G$31,MATCH(TRIM(E263),'設定'!$J$12:$J$31,0)),""),""))</f>
        <v/>
      </c>
      <c r="K263" s="30">
        <f>IF(AND(ISNUMBER(F263),ISNUMBER(J263)),ROUND(F263*J263,0),IF(ISNUMBER(I263),I263,""))</f>
        <v/>
      </c>
      <c r="L263" s="33" t="n"/>
      <c r="M263" s="34">
        <f>IF(COUNTA(A263:B263,D263:I263,L263)=0,"",IF(B263="","案件番号がありません",IF(ISNA(MATCH(B263,'案件'!$A$6:$A$105,0)),"案件シートに無い番号です",IF(NOT(OR(D263="材料費",D263="労務費",D263="外注費",D263="経費")),"費目を4つから選んでください",IF(K263="",IF(AND(ISNUMBER(F263),NOT(ISNUMBER(J263))),IF(D263="労務費","単価がありません（設定の作業者名と同じ書き方に）","単価がありません"),IF(AND(ISNUMBER(J263),NOT(ISNUMBER(F263))),"数量がありません","金額がありません")),IF(NOT(ISNUMBER(A263)),"日付がありません（月別集計に入りません）",IF(AND(ISNUMBER(F263),ISNUMBER(J263),ISNUMBER(I263)),"数量×単価を使いました（金額の欄は使っていません）","")))))))</f>
        <v/>
      </c>
      <c r="N263" s="91">
        <f>IF(AND(B263&lt;&gt;"",B263='案件カード'!$C$3),COUNTIF($B$5:B263,'案件カード'!$C$3),"")</f>
        <v/>
      </c>
      <c r="O263" s="91">
        <f>IF(ISNUMBER(K263),IF(B263="",K263,IF(AND(ISNUMBER(MATCH(B263,'案件'!$A$6:$A$105,0)),OR(D263="材料費",D263="労務費",D263="外注費",D263="経費")),0,K263)),0)</f>
        <v/>
      </c>
    </row>
    <row r="264" ht="16" customHeight="1">
      <c r="A264" s="35" t="n"/>
      <c r="B264" s="36" t="n"/>
      <c r="C264" s="37">
        <f>IF(B264="","",IFERROR(INDEX('案件'!$B$6:$B$105,MATCH(B264,'案件'!$A$6:$A$105,0))&amp;"","（案件シートに無い番号）"))</f>
        <v/>
      </c>
      <c r="D264" s="36" t="n"/>
      <c r="E264" s="38" t="n"/>
      <c r="F264" s="39" t="n"/>
      <c r="G264" s="36" t="n"/>
      <c r="H264" s="40" t="n"/>
      <c r="I264" s="40" t="n"/>
      <c r="J264" s="41">
        <f>IF(ISNUMBER(H264),H264,IF(AND(D264="労務費",TRIM(E264)&lt;&gt;""),IFERROR(INDEX('設定'!$G$12:$G$31,MATCH(TRIM(E264),'設定'!$J$12:$J$31,0)),""),""))</f>
        <v/>
      </c>
      <c r="K264" s="30">
        <f>IF(AND(ISNUMBER(F264),ISNUMBER(J264)),ROUND(F264*J264,0),IF(ISNUMBER(I264),I264,""))</f>
        <v/>
      </c>
      <c r="L264" s="33" t="n"/>
      <c r="M264" s="34">
        <f>IF(COUNTA(A264:B264,D264:I264,L264)=0,"",IF(B264="","案件番号がありません",IF(ISNA(MATCH(B264,'案件'!$A$6:$A$105,0)),"案件シートに無い番号です",IF(NOT(OR(D264="材料費",D264="労務費",D264="外注費",D264="経費")),"費目を4つから選んでください",IF(K264="",IF(AND(ISNUMBER(F264),NOT(ISNUMBER(J264))),IF(D264="労務費","単価がありません（設定の作業者名と同じ書き方に）","単価がありません"),IF(AND(ISNUMBER(J264),NOT(ISNUMBER(F264))),"数量がありません","金額がありません")),IF(NOT(ISNUMBER(A264)),"日付がありません（月別集計に入りません）",IF(AND(ISNUMBER(F264),ISNUMBER(J264),ISNUMBER(I264)),"数量×単価を使いました（金額の欄は使っていません）","")))))))</f>
        <v/>
      </c>
      <c r="N264" s="91">
        <f>IF(AND(B264&lt;&gt;"",B264='案件カード'!$C$3),COUNTIF($B$5:B264,'案件カード'!$C$3),"")</f>
        <v/>
      </c>
      <c r="O264" s="91">
        <f>IF(ISNUMBER(K264),IF(B264="",K264,IF(AND(ISNUMBER(MATCH(B264,'案件'!$A$6:$A$105,0)),OR(D264="材料費",D264="労務費",D264="外注費",D264="経費")),0,K264)),0)</f>
        <v/>
      </c>
    </row>
    <row r="265" ht="16" customHeight="1">
      <c r="A265" s="35" t="n"/>
      <c r="B265" s="36" t="n"/>
      <c r="C265" s="37">
        <f>IF(B265="","",IFERROR(INDEX('案件'!$B$6:$B$105,MATCH(B265,'案件'!$A$6:$A$105,0))&amp;"","（案件シートに無い番号）"))</f>
        <v/>
      </c>
      <c r="D265" s="36" t="n"/>
      <c r="E265" s="38" t="n"/>
      <c r="F265" s="39" t="n"/>
      <c r="G265" s="36" t="n"/>
      <c r="H265" s="40" t="n"/>
      <c r="I265" s="40" t="n"/>
      <c r="J265" s="41">
        <f>IF(ISNUMBER(H265),H265,IF(AND(D265="労務費",TRIM(E265)&lt;&gt;""),IFERROR(INDEX('設定'!$G$12:$G$31,MATCH(TRIM(E265),'設定'!$J$12:$J$31,0)),""),""))</f>
        <v/>
      </c>
      <c r="K265" s="30">
        <f>IF(AND(ISNUMBER(F265),ISNUMBER(J265)),ROUND(F265*J265,0),IF(ISNUMBER(I265),I265,""))</f>
        <v/>
      </c>
      <c r="L265" s="33" t="n"/>
      <c r="M265" s="34">
        <f>IF(COUNTA(A265:B265,D265:I265,L265)=0,"",IF(B265="","案件番号がありません",IF(ISNA(MATCH(B265,'案件'!$A$6:$A$105,0)),"案件シートに無い番号です",IF(NOT(OR(D265="材料費",D265="労務費",D265="外注費",D265="経費")),"費目を4つから選んでください",IF(K265="",IF(AND(ISNUMBER(F265),NOT(ISNUMBER(J265))),IF(D265="労務費","単価がありません（設定の作業者名と同じ書き方に）","単価がありません"),IF(AND(ISNUMBER(J265),NOT(ISNUMBER(F265))),"数量がありません","金額がありません")),IF(NOT(ISNUMBER(A265)),"日付がありません（月別集計に入りません）",IF(AND(ISNUMBER(F265),ISNUMBER(J265),ISNUMBER(I265)),"数量×単価を使いました（金額の欄は使っていません）","")))))))</f>
        <v/>
      </c>
      <c r="N265" s="91">
        <f>IF(AND(B265&lt;&gt;"",B265='案件カード'!$C$3),COUNTIF($B$5:B265,'案件カード'!$C$3),"")</f>
        <v/>
      </c>
      <c r="O265" s="91">
        <f>IF(ISNUMBER(K265),IF(B265="",K265,IF(AND(ISNUMBER(MATCH(B265,'案件'!$A$6:$A$105,0)),OR(D265="材料費",D265="労務費",D265="外注費",D265="経費")),0,K265)),0)</f>
        <v/>
      </c>
    </row>
    <row r="266" ht="16" customHeight="1">
      <c r="A266" s="35" t="n"/>
      <c r="B266" s="36" t="n"/>
      <c r="C266" s="37">
        <f>IF(B266="","",IFERROR(INDEX('案件'!$B$6:$B$105,MATCH(B266,'案件'!$A$6:$A$105,0))&amp;"","（案件シートに無い番号）"))</f>
        <v/>
      </c>
      <c r="D266" s="36" t="n"/>
      <c r="E266" s="38" t="n"/>
      <c r="F266" s="39" t="n"/>
      <c r="G266" s="36" t="n"/>
      <c r="H266" s="40" t="n"/>
      <c r="I266" s="40" t="n"/>
      <c r="J266" s="41">
        <f>IF(ISNUMBER(H266),H266,IF(AND(D266="労務費",TRIM(E266)&lt;&gt;""),IFERROR(INDEX('設定'!$G$12:$G$31,MATCH(TRIM(E266),'設定'!$J$12:$J$31,0)),""),""))</f>
        <v/>
      </c>
      <c r="K266" s="30">
        <f>IF(AND(ISNUMBER(F266),ISNUMBER(J266)),ROUND(F266*J266,0),IF(ISNUMBER(I266),I266,""))</f>
        <v/>
      </c>
      <c r="L266" s="33" t="n"/>
      <c r="M266" s="34">
        <f>IF(COUNTA(A266:B266,D266:I266,L266)=0,"",IF(B266="","案件番号がありません",IF(ISNA(MATCH(B266,'案件'!$A$6:$A$105,0)),"案件シートに無い番号です",IF(NOT(OR(D266="材料費",D266="労務費",D266="外注費",D266="経費")),"費目を4つから選んでください",IF(K266="",IF(AND(ISNUMBER(F266),NOT(ISNUMBER(J266))),IF(D266="労務費","単価がありません（設定の作業者名と同じ書き方に）","単価がありません"),IF(AND(ISNUMBER(J266),NOT(ISNUMBER(F266))),"数量がありません","金額がありません")),IF(NOT(ISNUMBER(A266)),"日付がありません（月別集計に入りません）",IF(AND(ISNUMBER(F266),ISNUMBER(J266),ISNUMBER(I266)),"数量×単価を使いました（金額の欄は使っていません）","")))))))</f>
        <v/>
      </c>
      <c r="N266" s="91">
        <f>IF(AND(B266&lt;&gt;"",B266='案件カード'!$C$3),COUNTIF($B$5:B266,'案件カード'!$C$3),"")</f>
        <v/>
      </c>
      <c r="O266" s="91">
        <f>IF(ISNUMBER(K266),IF(B266="",K266,IF(AND(ISNUMBER(MATCH(B266,'案件'!$A$6:$A$105,0)),OR(D266="材料費",D266="労務費",D266="外注費",D266="経費")),0,K266)),0)</f>
        <v/>
      </c>
    </row>
    <row r="267" ht="16" customHeight="1">
      <c r="A267" s="35" t="n"/>
      <c r="B267" s="36" t="n"/>
      <c r="C267" s="37">
        <f>IF(B267="","",IFERROR(INDEX('案件'!$B$6:$B$105,MATCH(B267,'案件'!$A$6:$A$105,0))&amp;"","（案件シートに無い番号）"))</f>
        <v/>
      </c>
      <c r="D267" s="36" t="n"/>
      <c r="E267" s="38" t="n"/>
      <c r="F267" s="39" t="n"/>
      <c r="G267" s="36" t="n"/>
      <c r="H267" s="40" t="n"/>
      <c r="I267" s="40" t="n"/>
      <c r="J267" s="41">
        <f>IF(ISNUMBER(H267),H267,IF(AND(D267="労務費",TRIM(E267)&lt;&gt;""),IFERROR(INDEX('設定'!$G$12:$G$31,MATCH(TRIM(E267),'設定'!$J$12:$J$31,0)),""),""))</f>
        <v/>
      </c>
      <c r="K267" s="30">
        <f>IF(AND(ISNUMBER(F267),ISNUMBER(J267)),ROUND(F267*J267,0),IF(ISNUMBER(I267),I267,""))</f>
        <v/>
      </c>
      <c r="L267" s="33" t="n"/>
      <c r="M267" s="34">
        <f>IF(COUNTA(A267:B267,D267:I267,L267)=0,"",IF(B267="","案件番号がありません",IF(ISNA(MATCH(B267,'案件'!$A$6:$A$105,0)),"案件シートに無い番号です",IF(NOT(OR(D267="材料費",D267="労務費",D267="外注費",D267="経費")),"費目を4つから選んでください",IF(K267="",IF(AND(ISNUMBER(F267),NOT(ISNUMBER(J267))),IF(D267="労務費","単価がありません（設定の作業者名と同じ書き方に）","単価がありません"),IF(AND(ISNUMBER(J267),NOT(ISNUMBER(F267))),"数量がありません","金額がありません")),IF(NOT(ISNUMBER(A267)),"日付がありません（月別集計に入りません）",IF(AND(ISNUMBER(F267),ISNUMBER(J267),ISNUMBER(I267)),"数量×単価を使いました（金額の欄は使っていません）","")))))))</f>
        <v/>
      </c>
      <c r="N267" s="91">
        <f>IF(AND(B267&lt;&gt;"",B267='案件カード'!$C$3),COUNTIF($B$5:B267,'案件カード'!$C$3),"")</f>
        <v/>
      </c>
      <c r="O267" s="91">
        <f>IF(ISNUMBER(K267),IF(B267="",K267,IF(AND(ISNUMBER(MATCH(B267,'案件'!$A$6:$A$105,0)),OR(D267="材料費",D267="労務費",D267="外注費",D267="経費")),0,K267)),0)</f>
        <v/>
      </c>
    </row>
    <row r="268" ht="16" customHeight="1">
      <c r="A268" s="35" t="n"/>
      <c r="B268" s="36" t="n"/>
      <c r="C268" s="37">
        <f>IF(B268="","",IFERROR(INDEX('案件'!$B$6:$B$105,MATCH(B268,'案件'!$A$6:$A$105,0))&amp;"","（案件シートに無い番号）"))</f>
        <v/>
      </c>
      <c r="D268" s="36" t="n"/>
      <c r="E268" s="38" t="n"/>
      <c r="F268" s="39" t="n"/>
      <c r="G268" s="36" t="n"/>
      <c r="H268" s="40" t="n"/>
      <c r="I268" s="40" t="n"/>
      <c r="J268" s="41">
        <f>IF(ISNUMBER(H268),H268,IF(AND(D268="労務費",TRIM(E268)&lt;&gt;""),IFERROR(INDEX('設定'!$G$12:$G$31,MATCH(TRIM(E268),'設定'!$J$12:$J$31,0)),""),""))</f>
        <v/>
      </c>
      <c r="K268" s="30">
        <f>IF(AND(ISNUMBER(F268),ISNUMBER(J268)),ROUND(F268*J268,0),IF(ISNUMBER(I268),I268,""))</f>
        <v/>
      </c>
      <c r="L268" s="33" t="n"/>
      <c r="M268" s="34">
        <f>IF(COUNTA(A268:B268,D268:I268,L268)=0,"",IF(B268="","案件番号がありません",IF(ISNA(MATCH(B268,'案件'!$A$6:$A$105,0)),"案件シートに無い番号です",IF(NOT(OR(D268="材料費",D268="労務費",D268="外注費",D268="経費")),"費目を4つから選んでください",IF(K268="",IF(AND(ISNUMBER(F268),NOT(ISNUMBER(J268))),IF(D268="労務費","単価がありません（設定の作業者名と同じ書き方に）","単価がありません"),IF(AND(ISNUMBER(J268),NOT(ISNUMBER(F268))),"数量がありません","金額がありません")),IF(NOT(ISNUMBER(A268)),"日付がありません（月別集計に入りません）",IF(AND(ISNUMBER(F268),ISNUMBER(J268),ISNUMBER(I268)),"数量×単価を使いました（金額の欄は使っていません）","")))))))</f>
        <v/>
      </c>
      <c r="N268" s="91">
        <f>IF(AND(B268&lt;&gt;"",B268='案件カード'!$C$3),COUNTIF($B$5:B268,'案件カード'!$C$3),"")</f>
        <v/>
      </c>
      <c r="O268" s="91">
        <f>IF(ISNUMBER(K268),IF(B268="",K268,IF(AND(ISNUMBER(MATCH(B268,'案件'!$A$6:$A$105,0)),OR(D268="材料費",D268="労務費",D268="外注費",D268="経費")),0,K268)),0)</f>
        <v/>
      </c>
    </row>
    <row r="269" ht="16" customHeight="1">
      <c r="A269" s="35" t="n"/>
      <c r="B269" s="36" t="n"/>
      <c r="C269" s="37">
        <f>IF(B269="","",IFERROR(INDEX('案件'!$B$6:$B$105,MATCH(B269,'案件'!$A$6:$A$105,0))&amp;"","（案件シートに無い番号）"))</f>
        <v/>
      </c>
      <c r="D269" s="36" t="n"/>
      <c r="E269" s="38" t="n"/>
      <c r="F269" s="39" t="n"/>
      <c r="G269" s="36" t="n"/>
      <c r="H269" s="40" t="n"/>
      <c r="I269" s="40" t="n"/>
      <c r="J269" s="41">
        <f>IF(ISNUMBER(H269),H269,IF(AND(D269="労務費",TRIM(E269)&lt;&gt;""),IFERROR(INDEX('設定'!$G$12:$G$31,MATCH(TRIM(E269),'設定'!$J$12:$J$31,0)),""),""))</f>
        <v/>
      </c>
      <c r="K269" s="30">
        <f>IF(AND(ISNUMBER(F269),ISNUMBER(J269)),ROUND(F269*J269,0),IF(ISNUMBER(I269),I269,""))</f>
        <v/>
      </c>
      <c r="L269" s="33" t="n"/>
      <c r="M269" s="34">
        <f>IF(COUNTA(A269:B269,D269:I269,L269)=0,"",IF(B269="","案件番号がありません",IF(ISNA(MATCH(B269,'案件'!$A$6:$A$105,0)),"案件シートに無い番号です",IF(NOT(OR(D269="材料費",D269="労務費",D269="外注費",D269="経費")),"費目を4つから選んでください",IF(K269="",IF(AND(ISNUMBER(F269),NOT(ISNUMBER(J269))),IF(D269="労務費","単価がありません（設定の作業者名と同じ書き方に）","単価がありません"),IF(AND(ISNUMBER(J269),NOT(ISNUMBER(F269))),"数量がありません","金額がありません")),IF(NOT(ISNUMBER(A269)),"日付がありません（月別集計に入りません）",IF(AND(ISNUMBER(F269),ISNUMBER(J269),ISNUMBER(I269)),"数量×単価を使いました（金額の欄は使っていません）","")))))))</f>
        <v/>
      </c>
      <c r="N269" s="91">
        <f>IF(AND(B269&lt;&gt;"",B269='案件カード'!$C$3),COUNTIF($B$5:B269,'案件カード'!$C$3),"")</f>
        <v/>
      </c>
      <c r="O269" s="91">
        <f>IF(ISNUMBER(K269),IF(B269="",K269,IF(AND(ISNUMBER(MATCH(B269,'案件'!$A$6:$A$105,0)),OR(D269="材料費",D269="労務費",D269="外注費",D269="経費")),0,K269)),0)</f>
        <v/>
      </c>
    </row>
    <row r="270" ht="16" customHeight="1">
      <c r="A270" s="35" t="n"/>
      <c r="B270" s="36" t="n"/>
      <c r="C270" s="37">
        <f>IF(B270="","",IFERROR(INDEX('案件'!$B$6:$B$105,MATCH(B270,'案件'!$A$6:$A$105,0))&amp;"","（案件シートに無い番号）"))</f>
        <v/>
      </c>
      <c r="D270" s="36" t="n"/>
      <c r="E270" s="38" t="n"/>
      <c r="F270" s="39" t="n"/>
      <c r="G270" s="36" t="n"/>
      <c r="H270" s="40" t="n"/>
      <c r="I270" s="40" t="n"/>
      <c r="J270" s="41">
        <f>IF(ISNUMBER(H270),H270,IF(AND(D270="労務費",TRIM(E270)&lt;&gt;""),IFERROR(INDEX('設定'!$G$12:$G$31,MATCH(TRIM(E270),'設定'!$J$12:$J$31,0)),""),""))</f>
        <v/>
      </c>
      <c r="K270" s="30">
        <f>IF(AND(ISNUMBER(F270),ISNUMBER(J270)),ROUND(F270*J270,0),IF(ISNUMBER(I270),I270,""))</f>
        <v/>
      </c>
      <c r="L270" s="33" t="n"/>
      <c r="M270" s="34">
        <f>IF(COUNTA(A270:B270,D270:I270,L270)=0,"",IF(B270="","案件番号がありません",IF(ISNA(MATCH(B270,'案件'!$A$6:$A$105,0)),"案件シートに無い番号です",IF(NOT(OR(D270="材料費",D270="労務費",D270="外注費",D270="経費")),"費目を4つから選んでください",IF(K270="",IF(AND(ISNUMBER(F270),NOT(ISNUMBER(J270))),IF(D270="労務費","単価がありません（設定の作業者名と同じ書き方に）","単価がありません"),IF(AND(ISNUMBER(J270),NOT(ISNUMBER(F270))),"数量がありません","金額がありません")),IF(NOT(ISNUMBER(A270)),"日付がありません（月別集計に入りません）",IF(AND(ISNUMBER(F270),ISNUMBER(J270),ISNUMBER(I270)),"数量×単価を使いました（金額の欄は使っていません）","")))))))</f>
        <v/>
      </c>
      <c r="N270" s="91">
        <f>IF(AND(B270&lt;&gt;"",B270='案件カード'!$C$3),COUNTIF($B$5:B270,'案件カード'!$C$3),"")</f>
        <v/>
      </c>
      <c r="O270" s="91">
        <f>IF(ISNUMBER(K270),IF(B270="",K270,IF(AND(ISNUMBER(MATCH(B270,'案件'!$A$6:$A$105,0)),OR(D270="材料費",D270="労務費",D270="外注費",D270="経費")),0,K270)),0)</f>
        <v/>
      </c>
    </row>
    <row r="271" ht="16" customHeight="1">
      <c r="A271" s="35" t="n"/>
      <c r="B271" s="36" t="n"/>
      <c r="C271" s="37">
        <f>IF(B271="","",IFERROR(INDEX('案件'!$B$6:$B$105,MATCH(B271,'案件'!$A$6:$A$105,0))&amp;"","（案件シートに無い番号）"))</f>
        <v/>
      </c>
      <c r="D271" s="36" t="n"/>
      <c r="E271" s="38" t="n"/>
      <c r="F271" s="39" t="n"/>
      <c r="G271" s="36" t="n"/>
      <c r="H271" s="40" t="n"/>
      <c r="I271" s="40" t="n"/>
      <c r="J271" s="41">
        <f>IF(ISNUMBER(H271),H271,IF(AND(D271="労務費",TRIM(E271)&lt;&gt;""),IFERROR(INDEX('設定'!$G$12:$G$31,MATCH(TRIM(E271),'設定'!$J$12:$J$31,0)),""),""))</f>
        <v/>
      </c>
      <c r="K271" s="30">
        <f>IF(AND(ISNUMBER(F271),ISNUMBER(J271)),ROUND(F271*J271,0),IF(ISNUMBER(I271),I271,""))</f>
        <v/>
      </c>
      <c r="L271" s="33" t="n"/>
      <c r="M271" s="34">
        <f>IF(COUNTA(A271:B271,D271:I271,L271)=0,"",IF(B271="","案件番号がありません",IF(ISNA(MATCH(B271,'案件'!$A$6:$A$105,0)),"案件シートに無い番号です",IF(NOT(OR(D271="材料費",D271="労務費",D271="外注費",D271="経費")),"費目を4つから選んでください",IF(K271="",IF(AND(ISNUMBER(F271),NOT(ISNUMBER(J271))),IF(D271="労務費","単価がありません（設定の作業者名と同じ書き方に）","単価がありません"),IF(AND(ISNUMBER(J271),NOT(ISNUMBER(F271))),"数量がありません","金額がありません")),IF(NOT(ISNUMBER(A271)),"日付がありません（月別集計に入りません）",IF(AND(ISNUMBER(F271),ISNUMBER(J271),ISNUMBER(I271)),"数量×単価を使いました（金額の欄は使っていません）","")))))))</f>
        <v/>
      </c>
      <c r="N271" s="91">
        <f>IF(AND(B271&lt;&gt;"",B271='案件カード'!$C$3),COUNTIF($B$5:B271,'案件カード'!$C$3),"")</f>
        <v/>
      </c>
      <c r="O271" s="91">
        <f>IF(ISNUMBER(K271),IF(B271="",K271,IF(AND(ISNUMBER(MATCH(B271,'案件'!$A$6:$A$105,0)),OR(D271="材料費",D271="労務費",D271="外注費",D271="経費")),0,K271)),0)</f>
        <v/>
      </c>
    </row>
    <row r="272" ht="16" customHeight="1">
      <c r="A272" s="35" t="n"/>
      <c r="B272" s="36" t="n"/>
      <c r="C272" s="37">
        <f>IF(B272="","",IFERROR(INDEX('案件'!$B$6:$B$105,MATCH(B272,'案件'!$A$6:$A$105,0))&amp;"","（案件シートに無い番号）"))</f>
        <v/>
      </c>
      <c r="D272" s="36" t="n"/>
      <c r="E272" s="38" t="n"/>
      <c r="F272" s="39" t="n"/>
      <c r="G272" s="36" t="n"/>
      <c r="H272" s="40" t="n"/>
      <c r="I272" s="40" t="n"/>
      <c r="J272" s="41">
        <f>IF(ISNUMBER(H272),H272,IF(AND(D272="労務費",TRIM(E272)&lt;&gt;""),IFERROR(INDEX('設定'!$G$12:$G$31,MATCH(TRIM(E272),'設定'!$J$12:$J$31,0)),""),""))</f>
        <v/>
      </c>
      <c r="K272" s="30">
        <f>IF(AND(ISNUMBER(F272),ISNUMBER(J272)),ROUND(F272*J272,0),IF(ISNUMBER(I272),I272,""))</f>
        <v/>
      </c>
      <c r="L272" s="33" t="n"/>
      <c r="M272" s="34">
        <f>IF(COUNTA(A272:B272,D272:I272,L272)=0,"",IF(B272="","案件番号がありません",IF(ISNA(MATCH(B272,'案件'!$A$6:$A$105,0)),"案件シートに無い番号です",IF(NOT(OR(D272="材料費",D272="労務費",D272="外注費",D272="経費")),"費目を4つから選んでください",IF(K272="",IF(AND(ISNUMBER(F272),NOT(ISNUMBER(J272))),IF(D272="労務費","単価がありません（設定の作業者名と同じ書き方に）","単価がありません"),IF(AND(ISNUMBER(J272),NOT(ISNUMBER(F272))),"数量がありません","金額がありません")),IF(NOT(ISNUMBER(A272)),"日付がありません（月別集計に入りません）",IF(AND(ISNUMBER(F272),ISNUMBER(J272),ISNUMBER(I272)),"数量×単価を使いました（金額の欄は使っていません）","")))))))</f>
        <v/>
      </c>
      <c r="N272" s="91">
        <f>IF(AND(B272&lt;&gt;"",B272='案件カード'!$C$3),COUNTIF($B$5:B272,'案件カード'!$C$3),"")</f>
        <v/>
      </c>
      <c r="O272" s="91">
        <f>IF(ISNUMBER(K272),IF(B272="",K272,IF(AND(ISNUMBER(MATCH(B272,'案件'!$A$6:$A$105,0)),OR(D272="材料費",D272="労務費",D272="外注費",D272="経費")),0,K272)),0)</f>
        <v/>
      </c>
    </row>
    <row r="273" ht="16" customHeight="1">
      <c r="A273" s="35" t="n"/>
      <c r="B273" s="36" t="n"/>
      <c r="C273" s="37">
        <f>IF(B273="","",IFERROR(INDEX('案件'!$B$6:$B$105,MATCH(B273,'案件'!$A$6:$A$105,0))&amp;"","（案件シートに無い番号）"))</f>
        <v/>
      </c>
      <c r="D273" s="36" t="n"/>
      <c r="E273" s="38" t="n"/>
      <c r="F273" s="39" t="n"/>
      <c r="G273" s="36" t="n"/>
      <c r="H273" s="40" t="n"/>
      <c r="I273" s="40" t="n"/>
      <c r="J273" s="41">
        <f>IF(ISNUMBER(H273),H273,IF(AND(D273="労務費",TRIM(E273)&lt;&gt;""),IFERROR(INDEX('設定'!$G$12:$G$31,MATCH(TRIM(E273),'設定'!$J$12:$J$31,0)),""),""))</f>
        <v/>
      </c>
      <c r="K273" s="30">
        <f>IF(AND(ISNUMBER(F273),ISNUMBER(J273)),ROUND(F273*J273,0),IF(ISNUMBER(I273),I273,""))</f>
        <v/>
      </c>
      <c r="L273" s="33" t="n"/>
      <c r="M273" s="34">
        <f>IF(COUNTA(A273:B273,D273:I273,L273)=0,"",IF(B273="","案件番号がありません",IF(ISNA(MATCH(B273,'案件'!$A$6:$A$105,0)),"案件シートに無い番号です",IF(NOT(OR(D273="材料費",D273="労務費",D273="外注費",D273="経費")),"費目を4つから選んでください",IF(K273="",IF(AND(ISNUMBER(F273),NOT(ISNUMBER(J273))),IF(D273="労務費","単価がありません（設定の作業者名と同じ書き方に）","単価がありません"),IF(AND(ISNUMBER(J273),NOT(ISNUMBER(F273))),"数量がありません","金額がありません")),IF(NOT(ISNUMBER(A273)),"日付がありません（月別集計に入りません）",IF(AND(ISNUMBER(F273),ISNUMBER(J273),ISNUMBER(I273)),"数量×単価を使いました（金額の欄は使っていません）","")))))))</f>
        <v/>
      </c>
      <c r="N273" s="91">
        <f>IF(AND(B273&lt;&gt;"",B273='案件カード'!$C$3),COUNTIF($B$5:B273,'案件カード'!$C$3),"")</f>
        <v/>
      </c>
      <c r="O273" s="91">
        <f>IF(ISNUMBER(K273),IF(B273="",K273,IF(AND(ISNUMBER(MATCH(B273,'案件'!$A$6:$A$105,0)),OR(D273="材料費",D273="労務費",D273="外注費",D273="経費")),0,K273)),0)</f>
        <v/>
      </c>
    </row>
    <row r="274" ht="16" customHeight="1">
      <c r="A274" s="35" t="n"/>
      <c r="B274" s="36" t="n"/>
      <c r="C274" s="37">
        <f>IF(B274="","",IFERROR(INDEX('案件'!$B$6:$B$105,MATCH(B274,'案件'!$A$6:$A$105,0))&amp;"","（案件シートに無い番号）"))</f>
        <v/>
      </c>
      <c r="D274" s="36" t="n"/>
      <c r="E274" s="38" t="n"/>
      <c r="F274" s="39" t="n"/>
      <c r="G274" s="36" t="n"/>
      <c r="H274" s="40" t="n"/>
      <c r="I274" s="40" t="n"/>
      <c r="J274" s="41">
        <f>IF(ISNUMBER(H274),H274,IF(AND(D274="労務費",TRIM(E274)&lt;&gt;""),IFERROR(INDEX('設定'!$G$12:$G$31,MATCH(TRIM(E274),'設定'!$J$12:$J$31,0)),""),""))</f>
        <v/>
      </c>
      <c r="K274" s="30">
        <f>IF(AND(ISNUMBER(F274),ISNUMBER(J274)),ROUND(F274*J274,0),IF(ISNUMBER(I274),I274,""))</f>
        <v/>
      </c>
      <c r="L274" s="33" t="n"/>
      <c r="M274" s="34">
        <f>IF(COUNTA(A274:B274,D274:I274,L274)=0,"",IF(B274="","案件番号がありません",IF(ISNA(MATCH(B274,'案件'!$A$6:$A$105,0)),"案件シートに無い番号です",IF(NOT(OR(D274="材料費",D274="労務費",D274="外注費",D274="経費")),"費目を4つから選んでください",IF(K274="",IF(AND(ISNUMBER(F274),NOT(ISNUMBER(J274))),IF(D274="労務費","単価がありません（設定の作業者名と同じ書き方に）","単価がありません"),IF(AND(ISNUMBER(J274),NOT(ISNUMBER(F274))),"数量がありません","金額がありません")),IF(NOT(ISNUMBER(A274)),"日付がありません（月別集計に入りません）",IF(AND(ISNUMBER(F274),ISNUMBER(J274),ISNUMBER(I274)),"数量×単価を使いました（金額の欄は使っていません）","")))))))</f>
        <v/>
      </c>
      <c r="N274" s="91">
        <f>IF(AND(B274&lt;&gt;"",B274='案件カード'!$C$3),COUNTIF($B$5:B274,'案件カード'!$C$3),"")</f>
        <v/>
      </c>
      <c r="O274" s="91">
        <f>IF(ISNUMBER(K274),IF(B274="",K274,IF(AND(ISNUMBER(MATCH(B274,'案件'!$A$6:$A$105,0)),OR(D274="材料費",D274="労務費",D274="外注費",D274="経費")),0,K274)),0)</f>
        <v/>
      </c>
    </row>
    <row r="275" ht="16" customHeight="1">
      <c r="A275" s="35" t="n"/>
      <c r="B275" s="36" t="n"/>
      <c r="C275" s="37">
        <f>IF(B275="","",IFERROR(INDEX('案件'!$B$6:$B$105,MATCH(B275,'案件'!$A$6:$A$105,0))&amp;"","（案件シートに無い番号）"))</f>
        <v/>
      </c>
      <c r="D275" s="36" t="n"/>
      <c r="E275" s="38" t="n"/>
      <c r="F275" s="39" t="n"/>
      <c r="G275" s="36" t="n"/>
      <c r="H275" s="40" t="n"/>
      <c r="I275" s="40" t="n"/>
      <c r="J275" s="41">
        <f>IF(ISNUMBER(H275),H275,IF(AND(D275="労務費",TRIM(E275)&lt;&gt;""),IFERROR(INDEX('設定'!$G$12:$G$31,MATCH(TRIM(E275),'設定'!$J$12:$J$31,0)),""),""))</f>
        <v/>
      </c>
      <c r="K275" s="30">
        <f>IF(AND(ISNUMBER(F275),ISNUMBER(J275)),ROUND(F275*J275,0),IF(ISNUMBER(I275),I275,""))</f>
        <v/>
      </c>
      <c r="L275" s="33" t="n"/>
      <c r="M275" s="34">
        <f>IF(COUNTA(A275:B275,D275:I275,L275)=0,"",IF(B275="","案件番号がありません",IF(ISNA(MATCH(B275,'案件'!$A$6:$A$105,0)),"案件シートに無い番号です",IF(NOT(OR(D275="材料費",D275="労務費",D275="外注費",D275="経費")),"費目を4つから選んでください",IF(K275="",IF(AND(ISNUMBER(F275),NOT(ISNUMBER(J275))),IF(D275="労務費","単価がありません（設定の作業者名と同じ書き方に）","単価がありません"),IF(AND(ISNUMBER(J275),NOT(ISNUMBER(F275))),"数量がありません","金額がありません")),IF(NOT(ISNUMBER(A275)),"日付がありません（月別集計に入りません）",IF(AND(ISNUMBER(F275),ISNUMBER(J275),ISNUMBER(I275)),"数量×単価を使いました（金額の欄は使っていません）","")))))))</f>
        <v/>
      </c>
      <c r="N275" s="91">
        <f>IF(AND(B275&lt;&gt;"",B275='案件カード'!$C$3),COUNTIF($B$5:B275,'案件カード'!$C$3),"")</f>
        <v/>
      </c>
      <c r="O275" s="91">
        <f>IF(ISNUMBER(K275),IF(B275="",K275,IF(AND(ISNUMBER(MATCH(B275,'案件'!$A$6:$A$105,0)),OR(D275="材料費",D275="労務費",D275="外注費",D275="経費")),0,K275)),0)</f>
        <v/>
      </c>
    </row>
    <row r="276" ht="16" customHeight="1">
      <c r="A276" s="35" t="n"/>
      <c r="B276" s="36" t="n"/>
      <c r="C276" s="37">
        <f>IF(B276="","",IFERROR(INDEX('案件'!$B$6:$B$105,MATCH(B276,'案件'!$A$6:$A$105,0))&amp;"","（案件シートに無い番号）"))</f>
        <v/>
      </c>
      <c r="D276" s="36" t="n"/>
      <c r="E276" s="38" t="n"/>
      <c r="F276" s="39" t="n"/>
      <c r="G276" s="36" t="n"/>
      <c r="H276" s="40" t="n"/>
      <c r="I276" s="40" t="n"/>
      <c r="J276" s="41">
        <f>IF(ISNUMBER(H276),H276,IF(AND(D276="労務費",TRIM(E276)&lt;&gt;""),IFERROR(INDEX('設定'!$G$12:$G$31,MATCH(TRIM(E276),'設定'!$J$12:$J$31,0)),""),""))</f>
        <v/>
      </c>
      <c r="K276" s="30">
        <f>IF(AND(ISNUMBER(F276),ISNUMBER(J276)),ROUND(F276*J276,0),IF(ISNUMBER(I276),I276,""))</f>
        <v/>
      </c>
      <c r="L276" s="33" t="n"/>
      <c r="M276" s="34">
        <f>IF(COUNTA(A276:B276,D276:I276,L276)=0,"",IF(B276="","案件番号がありません",IF(ISNA(MATCH(B276,'案件'!$A$6:$A$105,0)),"案件シートに無い番号です",IF(NOT(OR(D276="材料費",D276="労務費",D276="外注費",D276="経費")),"費目を4つから選んでください",IF(K276="",IF(AND(ISNUMBER(F276),NOT(ISNUMBER(J276))),IF(D276="労務費","単価がありません（設定の作業者名と同じ書き方に）","単価がありません"),IF(AND(ISNUMBER(J276),NOT(ISNUMBER(F276))),"数量がありません","金額がありません")),IF(NOT(ISNUMBER(A276)),"日付がありません（月別集計に入りません）",IF(AND(ISNUMBER(F276),ISNUMBER(J276),ISNUMBER(I276)),"数量×単価を使いました（金額の欄は使っていません）","")))))))</f>
        <v/>
      </c>
      <c r="N276" s="91">
        <f>IF(AND(B276&lt;&gt;"",B276='案件カード'!$C$3),COUNTIF($B$5:B276,'案件カード'!$C$3),"")</f>
        <v/>
      </c>
      <c r="O276" s="91">
        <f>IF(ISNUMBER(K276),IF(B276="",K276,IF(AND(ISNUMBER(MATCH(B276,'案件'!$A$6:$A$105,0)),OR(D276="材料費",D276="労務費",D276="外注費",D276="経費")),0,K276)),0)</f>
        <v/>
      </c>
    </row>
    <row r="277" ht="16" customHeight="1">
      <c r="A277" s="35" t="n"/>
      <c r="B277" s="36" t="n"/>
      <c r="C277" s="37">
        <f>IF(B277="","",IFERROR(INDEX('案件'!$B$6:$B$105,MATCH(B277,'案件'!$A$6:$A$105,0))&amp;"","（案件シートに無い番号）"))</f>
        <v/>
      </c>
      <c r="D277" s="36" t="n"/>
      <c r="E277" s="38" t="n"/>
      <c r="F277" s="39" t="n"/>
      <c r="G277" s="36" t="n"/>
      <c r="H277" s="40" t="n"/>
      <c r="I277" s="40" t="n"/>
      <c r="J277" s="41">
        <f>IF(ISNUMBER(H277),H277,IF(AND(D277="労務費",TRIM(E277)&lt;&gt;""),IFERROR(INDEX('設定'!$G$12:$G$31,MATCH(TRIM(E277),'設定'!$J$12:$J$31,0)),""),""))</f>
        <v/>
      </c>
      <c r="K277" s="30">
        <f>IF(AND(ISNUMBER(F277),ISNUMBER(J277)),ROUND(F277*J277,0),IF(ISNUMBER(I277),I277,""))</f>
        <v/>
      </c>
      <c r="L277" s="33" t="n"/>
      <c r="M277" s="34">
        <f>IF(COUNTA(A277:B277,D277:I277,L277)=0,"",IF(B277="","案件番号がありません",IF(ISNA(MATCH(B277,'案件'!$A$6:$A$105,0)),"案件シートに無い番号です",IF(NOT(OR(D277="材料費",D277="労務費",D277="外注費",D277="経費")),"費目を4つから選んでください",IF(K277="",IF(AND(ISNUMBER(F277),NOT(ISNUMBER(J277))),IF(D277="労務費","単価がありません（設定の作業者名と同じ書き方に）","単価がありません"),IF(AND(ISNUMBER(J277),NOT(ISNUMBER(F277))),"数量がありません","金額がありません")),IF(NOT(ISNUMBER(A277)),"日付がありません（月別集計に入りません）",IF(AND(ISNUMBER(F277),ISNUMBER(J277),ISNUMBER(I277)),"数量×単価を使いました（金額の欄は使っていません）","")))))))</f>
        <v/>
      </c>
      <c r="N277" s="91">
        <f>IF(AND(B277&lt;&gt;"",B277='案件カード'!$C$3),COUNTIF($B$5:B277,'案件カード'!$C$3),"")</f>
        <v/>
      </c>
      <c r="O277" s="91">
        <f>IF(ISNUMBER(K277),IF(B277="",K277,IF(AND(ISNUMBER(MATCH(B277,'案件'!$A$6:$A$105,0)),OR(D277="材料費",D277="労務費",D277="外注費",D277="経費")),0,K277)),0)</f>
        <v/>
      </c>
    </row>
    <row r="278" ht="16" customHeight="1">
      <c r="A278" s="35" t="n"/>
      <c r="B278" s="36" t="n"/>
      <c r="C278" s="37">
        <f>IF(B278="","",IFERROR(INDEX('案件'!$B$6:$B$105,MATCH(B278,'案件'!$A$6:$A$105,0))&amp;"","（案件シートに無い番号）"))</f>
        <v/>
      </c>
      <c r="D278" s="36" t="n"/>
      <c r="E278" s="38" t="n"/>
      <c r="F278" s="39" t="n"/>
      <c r="G278" s="36" t="n"/>
      <c r="H278" s="40" t="n"/>
      <c r="I278" s="40" t="n"/>
      <c r="J278" s="41">
        <f>IF(ISNUMBER(H278),H278,IF(AND(D278="労務費",TRIM(E278)&lt;&gt;""),IFERROR(INDEX('設定'!$G$12:$G$31,MATCH(TRIM(E278),'設定'!$J$12:$J$31,0)),""),""))</f>
        <v/>
      </c>
      <c r="K278" s="30">
        <f>IF(AND(ISNUMBER(F278),ISNUMBER(J278)),ROUND(F278*J278,0),IF(ISNUMBER(I278),I278,""))</f>
        <v/>
      </c>
      <c r="L278" s="33" t="n"/>
      <c r="M278" s="34">
        <f>IF(COUNTA(A278:B278,D278:I278,L278)=0,"",IF(B278="","案件番号がありません",IF(ISNA(MATCH(B278,'案件'!$A$6:$A$105,0)),"案件シートに無い番号です",IF(NOT(OR(D278="材料費",D278="労務費",D278="外注費",D278="経費")),"費目を4つから選んでください",IF(K278="",IF(AND(ISNUMBER(F278),NOT(ISNUMBER(J278))),IF(D278="労務費","単価がありません（設定の作業者名と同じ書き方に）","単価がありません"),IF(AND(ISNUMBER(J278),NOT(ISNUMBER(F278))),"数量がありません","金額がありません")),IF(NOT(ISNUMBER(A278)),"日付がありません（月別集計に入りません）",IF(AND(ISNUMBER(F278),ISNUMBER(J278),ISNUMBER(I278)),"数量×単価を使いました（金額の欄は使っていません）","")))))))</f>
        <v/>
      </c>
      <c r="N278" s="91">
        <f>IF(AND(B278&lt;&gt;"",B278='案件カード'!$C$3),COUNTIF($B$5:B278,'案件カード'!$C$3),"")</f>
        <v/>
      </c>
      <c r="O278" s="91">
        <f>IF(ISNUMBER(K278),IF(B278="",K278,IF(AND(ISNUMBER(MATCH(B278,'案件'!$A$6:$A$105,0)),OR(D278="材料費",D278="労務費",D278="外注費",D278="経費")),0,K278)),0)</f>
        <v/>
      </c>
    </row>
    <row r="279" ht="16" customHeight="1">
      <c r="A279" s="35" t="n"/>
      <c r="B279" s="36" t="n"/>
      <c r="C279" s="37">
        <f>IF(B279="","",IFERROR(INDEX('案件'!$B$6:$B$105,MATCH(B279,'案件'!$A$6:$A$105,0))&amp;"","（案件シートに無い番号）"))</f>
        <v/>
      </c>
      <c r="D279" s="36" t="n"/>
      <c r="E279" s="38" t="n"/>
      <c r="F279" s="39" t="n"/>
      <c r="G279" s="36" t="n"/>
      <c r="H279" s="40" t="n"/>
      <c r="I279" s="40" t="n"/>
      <c r="J279" s="41">
        <f>IF(ISNUMBER(H279),H279,IF(AND(D279="労務費",TRIM(E279)&lt;&gt;""),IFERROR(INDEX('設定'!$G$12:$G$31,MATCH(TRIM(E279),'設定'!$J$12:$J$31,0)),""),""))</f>
        <v/>
      </c>
      <c r="K279" s="30">
        <f>IF(AND(ISNUMBER(F279),ISNUMBER(J279)),ROUND(F279*J279,0),IF(ISNUMBER(I279),I279,""))</f>
        <v/>
      </c>
      <c r="L279" s="33" t="n"/>
      <c r="M279" s="34">
        <f>IF(COUNTA(A279:B279,D279:I279,L279)=0,"",IF(B279="","案件番号がありません",IF(ISNA(MATCH(B279,'案件'!$A$6:$A$105,0)),"案件シートに無い番号です",IF(NOT(OR(D279="材料費",D279="労務費",D279="外注費",D279="経費")),"費目を4つから選んでください",IF(K279="",IF(AND(ISNUMBER(F279),NOT(ISNUMBER(J279))),IF(D279="労務費","単価がありません（設定の作業者名と同じ書き方に）","単価がありません"),IF(AND(ISNUMBER(J279),NOT(ISNUMBER(F279))),"数量がありません","金額がありません")),IF(NOT(ISNUMBER(A279)),"日付がありません（月別集計に入りません）",IF(AND(ISNUMBER(F279),ISNUMBER(J279),ISNUMBER(I279)),"数量×単価を使いました（金額の欄は使っていません）","")))))))</f>
        <v/>
      </c>
      <c r="N279" s="91">
        <f>IF(AND(B279&lt;&gt;"",B279='案件カード'!$C$3),COUNTIF($B$5:B279,'案件カード'!$C$3),"")</f>
        <v/>
      </c>
      <c r="O279" s="91">
        <f>IF(ISNUMBER(K279),IF(B279="",K279,IF(AND(ISNUMBER(MATCH(B279,'案件'!$A$6:$A$105,0)),OR(D279="材料費",D279="労務費",D279="外注費",D279="経費")),0,K279)),0)</f>
        <v/>
      </c>
    </row>
    <row r="280" ht="16" customHeight="1">
      <c r="A280" s="35" t="n"/>
      <c r="B280" s="36" t="n"/>
      <c r="C280" s="37">
        <f>IF(B280="","",IFERROR(INDEX('案件'!$B$6:$B$105,MATCH(B280,'案件'!$A$6:$A$105,0))&amp;"","（案件シートに無い番号）"))</f>
        <v/>
      </c>
      <c r="D280" s="36" t="n"/>
      <c r="E280" s="38" t="n"/>
      <c r="F280" s="39" t="n"/>
      <c r="G280" s="36" t="n"/>
      <c r="H280" s="40" t="n"/>
      <c r="I280" s="40" t="n"/>
      <c r="J280" s="41">
        <f>IF(ISNUMBER(H280),H280,IF(AND(D280="労務費",TRIM(E280)&lt;&gt;""),IFERROR(INDEX('設定'!$G$12:$G$31,MATCH(TRIM(E280),'設定'!$J$12:$J$31,0)),""),""))</f>
        <v/>
      </c>
      <c r="K280" s="30">
        <f>IF(AND(ISNUMBER(F280),ISNUMBER(J280)),ROUND(F280*J280,0),IF(ISNUMBER(I280),I280,""))</f>
        <v/>
      </c>
      <c r="L280" s="33" t="n"/>
      <c r="M280" s="34">
        <f>IF(COUNTA(A280:B280,D280:I280,L280)=0,"",IF(B280="","案件番号がありません",IF(ISNA(MATCH(B280,'案件'!$A$6:$A$105,0)),"案件シートに無い番号です",IF(NOT(OR(D280="材料費",D280="労務費",D280="外注費",D280="経費")),"費目を4つから選んでください",IF(K280="",IF(AND(ISNUMBER(F280),NOT(ISNUMBER(J280))),IF(D280="労務費","単価がありません（設定の作業者名と同じ書き方に）","単価がありません"),IF(AND(ISNUMBER(J280),NOT(ISNUMBER(F280))),"数量がありません","金額がありません")),IF(NOT(ISNUMBER(A280)),"日付がありません（月別集計に入りません）",IF(AND(ISNUMBER(F280),ISNUMBER(J280),ISNUMBER(I280)),"数量×単価を使いました（金額の欄は使っていません）","")))))))</f>
        <v/>
      </c>
      <c r="N280" s="91">
        <f>IF(AND(B280&lt;&gt;"",B280='案件カード'!$C$3),COUNTIF($B$5:B280,'案件カード'!$C$3),"")</f>
        <v/>
      </c>
      <c r="O280" s="91">
        <f>IF(ISNUMBER(K280),IF(B280="",K280,IF(AND(ISNUMBER(MATCH(B280,'案件'!$A$6:$A$105,0)),OR(D280="材料費",D280="労務費",D280="外注費",D280="経費")),0,K280)),0)</f>
        <v/>
      </c>
    </row>
    <row r="281" ht="16" customHeight="1">
      <c r="A281" s="35" t="n"/>
      <c r="B281" s="36" t="n"/>
      <c r="C281" s="37">
        <f>IF(B281="","",IFERROR(INDEX('案件'!$B$6:$B$105,MATCH(B281,'案件'!$A$6:$A$105,0))&amp;"","（案件シートに無い番号）"))</f>
        <v/>
      </c>
      <c r="D281" s="36" t="n"/>
      <c r="E281" s="38" t="n"/>
      <c r="F281" s="39" t="n"/>
      <c r="G281" s="36" t="n"/>
      <c r="H281" s="40" t="n"/>
      <c r="I281" s="40" t="n"/>
      <c r="J281" s="41">
        <f>IF(ISNUMBER(H281),H281,IF(AND(D281="労務費",TRIM(E281)&lt;&gt;""),IFERROR(INDEX('設定'!$G$12:$G$31,MATCH(TRIM(E281),'設定'!$J$12:$J$31,0)),""),""))</f>
        <v/>
      </c>
      <c r="K281" s="30">
        <f>IF(AND(ISNUMBER(F281),ISNUMBER(J281)),ROUND(F281*J281,0),IF(ISNUMBER(I281),I281,""))</f>
        <v/>
      </c>
      <c r="L281" s="33" t="n"/>
      <c r="M281" s="34">
        <f>IF(COUNTA(A281:B281,D281:I281,L281)=0,"",IF(B281="","案件番号がありません",IF(ISNA(MATCH(B281,'案件'!$A$6:$A$105,0)),"案件シートに無い番号です",IF(NOT(OR(D281="材料費",D281="労務費",D281="外注費",D281="経費")),"費目を4つから選んでください",IF(K281="",IF(AND(ISNUMBER(F281),NOT(ISNUMBER(J281))),IF(D281="労務費","単価がありません（設定の作業者名と同じ書き方に）","単価がありません"),IF(AND(ISNUMBER(J281),NOT(ISNUMBER(F281))),"数量がありません","金額がありません")),IF(NOT(ISNUMBER(A281)),"日付がありません（月別集計に入りません）",IF(AND(ISNUMBER(F281),ISNUMBER(J281),ISNUMBER(I281)),"数量×単価を使いました（金額の欄は使っていません）","")))))))</f>
        <v/>
      </c>
      <c r="N281" s="91">
        <f>IF(AND(B281&lt;&gt;"",B281='案件カード'!$C$3),COUNTIF($B$5:B281,'案件カード'!$C$3),"")</f>
        <v/>
      </c>
      <c r="O281" s="91">
        <f>IF(ISNUMBER(K281),IF(B281="",K281,IF(AND(ISNUMBER(MATCH(B281,'案件'!$A$6:$A$105,0)),OR(D281="材料費",D281="労務費",D281="外注費",D281="経費")),0,K281)),0)</f>
        <v/>
      </c>
    </row>
    <row r="282" ht="16" customHeight="1">
      <c r="A282" s="35" t="n"/>
      <c r="B282" s="36" t="n"/>
      <c r="C282" s="37">
        <f>IF(B282="","",IFERROR(INDEX('案件'!$B$6:$B$105,MATCH(B282,'案件'!$A$6:$A$105,0))&amp;"","（案件シートに無い番号）"))</f>
        <v/>
      </c>
      <c r="D282" s="36" t="n"/>
      <c r="E282" s="38" t="n"/>
      <c r="F282" s="39" t="n"/>
      <c r="G282" s="36" t="n"/>
      <c r="H282" s="40" t="n"/>
      <c r="I282" s="40" t="n"/>
      <c r="J282" s="41">
        <f>IF(ISNUMBER(H282),H282,IF(AND(D282="労務費",TRIM(E282)&lt;&gt;""),IFERROR(INDEX('設定'!$G$12:$G$31,MATCH(TRIM(E282),'設定'!$J$12:$J$31,0)),""),""))</f>
        <v/>
      </c>
      <c r="K282" s="30">
        <f>IF(AND(ISNUMBER(F282),ISNUMBER(J282)),ROUND(F282*J282,0),IF(ISNUMBER(I282),I282,""))</f>
        <v/>
      </c>
      <c r="L282" s="33" t="n"/>
      <c r="M282" s="34">
        <f>IF(COUNTA(A282:B282,D282:I282,L282)=0,"",IF(B282="","案件番号がありません",IF(ISNA(MATCH(B282,'案件'!$A$6:$A$105,0)),"案件シートに無い番号です",IF(NOT(OR(D282="材料費",D282="労務費",D282="外注費",D282="経費")),"費目を4つから選んでください",IF(K282="",IF(AND(ISNUMBER(F282),NOT(ISNUMBER(J282))),IF(D282="労務費","単価がありません（設定の作業者名と同じ書き方に）","単価がありません"),IF(AND(ISNUMBER(J282),NOT(ISNUMBER(F282))),"数量がありません","金額がありません")),IF(NOT(ISNUMBER(A282)),"日付がありません（月別集計に入りません）",IF(AND(ISNUMBER(F282),ISNUMBER(J282),ISNUMBER(I282)),"数量×単価を使いました（金額の欄は使っていません）","")))))))</f>
        <v/>
      </c>
      <c r="N282" s="91">
        <f>IF(AND(B282&lt;&gt;"",B282='案件カード'!$C$3),COUNTIF($B$5:B282,'案件カード'!$C$3),"")</f>
        <v/>
      </c>
      <c r="O282" s="91">
        <f>IF(ISNUMBER(K282),IF(B282="",K282,IF(AND(ISNUMBER(MATCH(B282,'案件'!$A$6:$A$105,0)),OR(D282="材料費",D282="労務費",D282="外注費",D282="経費")),0,K282)),0)</f>
        <v/>
      </c>
    </row>
    <row r="283" ht="16" customHeight="1">
      <c r="A283" s="35" t="n"/>
      <c r="B283" s="36" t="n"/>
      <c r="C283" s="37">
        <f>IF(B283="","",IFERROR(INDEX('案件'!$B$6:$B$105,MATCH(B283,'案件'!$A$6:$A$105,0))&amp;"","（案件シートに無い番号）"))</f>
        <v/>
      </c>
      <c r="D283" s="36" t="n"/>
      <c r="E283" s="38" t="n"/>
      <c r="F283" s="39" t="n"/>
      <c r="G283" s="36" t="n"/>
      <c r="H283" s="40" t="n"/>
      <c r="I283" s="40" t="n"/>
      <c r="J283" s="41">
        <f>IF(ISNUMBER(H283),H283,IF(AND(D283="労務費",TRIM(E283)&lt;&gt;""),IFERROR(INDEX('設定'!$G$12:$G$31,MATCH(TRIM(E283),'設定'!$J$12:$J$31,0)),""),""))</f>
        <v/>
      </c>
      <c r="K283" s="30">
        <f>IF(AND(ISNUMBER(F283),ISNUMBER(J283)),ROUND(F283*J283,0),IF(ISNUMBER(I283),I283,""))</f>
        <v/>
      </c>
      <c r="L283" s="33" t="n"/>
      <c r="M283" s="34">
        <f>IF(COUNTA(A283:B283,D283:I283,L283)=0,"",IF(B283="","案件番号がありません",IF(ISNA(MATCH(B283,'案件'!$A$6:$A$105,0)),"案件シートに無い番号です",IF(NOT(OR(D283="材料費",D283="労務費",D283="外注費",D283="経費")),"費目を4つから選んでください",IF(K283="",IF(AND(ISNUMBER(F283),NOT(ISNUMBER(J283))),IF(D283="労務費","単価がありません（設定の作業者名と同じ書き方に）","単価がありません"),IF(AND(ISNUMBER(J283),NOT(ISNUMBER(F283))),"数量がありません","金額がありません")),IF(NOT(ISNUMBER(A283)),"日付がありません（月別集計に入りません）",IF(AND(ISNUMBER(F283),ISNUMBER(J283),ISNUMBER(I283)),"数量×単価を使いました（金額の欄は使っていません）","")))))))</f>
        <v/>
      </c>
      <c r="N283" s="91">
        <f>IF(AND(B283&lt;&gt;"",B283='案件カード'!$C$3),COUNTIF($B$5:B283,'案件カード'!$C$3),"")</f>
        <v/>
      </c>
      <c r="O283" s="91">
        <f>IF(ISNUMBER(K283),IF(B283="",K283,IF(AND(ISNUMBER(MATCH(B283,'案件'!$A$6:$A$105,0)),OR(D283="材料費",D283="労務費",D283="外注費",D283="経費")),0,K283)),0)</f>
        <v/>
      </c>
    </row>
    <row r="284" ht="16" customHeight="1">
      <c r="A284" s="35" t="n"/>
      <c r="B284" s="36" t="n"/>
      <c r="C284" s="37">
        <f>IF(B284="","",IFERROR(INDEX('案件'!$B$6:$B$105,MATCH(B284,'案件'!$A$6:$A$105,0))&amp;"","（案件シートに無い番号）"))</f>
        <v/>
      </c>
      <c r="D284" s="36" t="n"/>
      <c r="E284" s="38" t="n"/>
      <c r="F284" s="39" t="n"/>
      <c r="G284" s="36" t="n"/>
      <c r="H284" s="40" t="n"/>
      <c r="I284" s="40" t="n"/>
      <c r="J284" s="41">
        <f>IF(ISNUMBER(H284),H284,IF(AND(D284="労務費",TRIM(E284)&lt;&gt;""),IFERROR(INDEX('設定'!$G$12:$G$31,MATCH(TRIM(E284),'設定'!$J$12:$J$31,0)),""),""))</f>
        <v/>
      </c>
      <c r="K284" s="30">
        <f>IF(AND(ISNUMBER(F284),ISNUMBER(J284)),ROUND(F284*J284,0),IF(ISNUMBER(I284),I284,""))</f>
        <v/>
      </c>
      <c r="L284" s="33" t="n"/>
      <c r="M284" s="34">
        <f>IF(COUNTA(A284:B284,D284:I284,L284)=0,"",IF(B284="","案件番号がありません",IF(ISNA(MATCH(B284,'案件'!$A$6:$A$105,0)),"案件シートに無い番号です",IF(NOT(OR(D284="材料費",D284="労務費",D284="外注費",D284="経費")),"費目を4つから選んでください",IF(K284="",IF(AND(ISNUMBER(F284),NOT(ISNUMBER(J284))),IF(D284="労務費","単価がありません（設定の作業者名と同じ書き方に）","単価がありません"),IF(AND(ISNUMBER(J284),NOT(ISNUMBER(F284))),"数量がありません","金額がありません")),IF(NOT(ISNUMBER(A284)),"日付がありません（月別集計に入りません）",IF(AND(ISNUMBER(F284),ISNUMBER(J284),ISNUMBER(I284)),"数量×単価を使いました（金額の欄は使っていません）","")))))))</f>
        <v/>
      </c>
      <c r="N284" s="91">
        <f>IF(AND(B284&lt;&gt;"",B284='案件カード'!$C$3),COUNTIF($B$5:B284,'案件カード'!$C$3),"")</f>
        <v/>
      </c>
      <c r="O284" s="91">
        <f>IF(ISNUMBER(K284),IF(B284="",K284,IF(AND(ISNUMBER(MATCH(B284,'案件'!$A$6:$A$105,0)),OR(D284="材料費",D284="労務費",D284="外注費",D284="経費")),0,K284)),0)</f>
        <v/>
      </c>
    </row>
    <row r="285" ht="16" customHeight="1">
      <c r="A285" s="35" t="n"/>
      <c r="B285" s="36" t="n"/>
      <c r="C285" s="37">
        <f>IF(B285="","",IFERROR(INDEX('案件'!$B$6:$B$105,MATCH(B285,'案件'!$A$6:$A$105,0))&amp;"","（案件シートに無い番号）"))</f>
        <v/>
      </c>
      <c r="D285" s="36" t="n"/>
      <c r="E285" s="38" t="n"/>
      <c r="F285" s="39" t="n"/>
      <c r="G285" s="36" t="n"/>
      <c r="H285" s="40" t="n"/>
      <c r="I285" s="40" t="n"/>
      <c r="J285" s="41">
        <f>IF(ISNUMBER(H285),H285,IF(AND(D285="労務費",TRIM(E285)&lt;&gt;""),IFERROR(INDEX('設定'!$G$12:$G$31,MATCH(TRIM(E285),'設定'!$J$12:$J$31,0)),""),""))</f>
        <v/>
      </c>
      <c r="K285" s="30">
        <f>IF(AND(ISNUMBER(F285),ISNUMBER(J285)),ROUND(F285*J285,0),IF(ISNUMBER(I285),I285,""))</f>
        <v/>
      </c>
      <c r="L285" s="33" t="n"/>
      <c r="M285" s="34">
        <f>IF(COUNTA(A285:B285,D285:I285,L285)=0,"",IF(B285="","案件番号がありません",IF(ISNA(MATCH(B285,'案件'!$A$6:$A$105,0)),"案件シートに無い番号です",IF(NOT(OR(D285="材料費",D285="労務費",D285="外注費",D285="経費")),"費目を4つから選んでください",IF(K285="",IF(AND(ISNUMBER(F285),NOT(ISNUMBER(J285))),IF(D285="労務費","単価がありません（設定の作業者名と同じ書き方に）","単価がありません"),IF(AND(ISNUMBER(J285),NOT(ISNUMBER(F285))),"数量がありません","金額がありません")),IF(NOT(ISNUMBER(A285)),"日付がありません（月別集計に入りません）",IF(AND(ISNUMBER(F285),ISNUMBER(J285),ISNUMBER(I285)),"数量×単価を使いました（金額の欄は使っていません）","")))))))</f>
        <v/>
      </c>
      <c r="N285" s="91">
        <f>IF(AND(B285&lt;&gt;"",B285='案件カード'!$C$3),COUNTIF($B$5:B285,'案件カード'!$C$3),"")</f>
        <v/>
      </c>
      <c r="O285" s="91">
        <f>IF(ISNUMBER(K285),IF(B285="",K285,IF(AND(ISNUMBER(MATCH(B285,'案件'!$A$6:$A$105,0)),OR(D285="材料費",D285="労務費",D285="外注費",D285="経費")),0,K285)),0)</f>
        <v/>
      </c>
    </row>
    <row r="286" ht="16" customHeight="1">
      <c r="A286" s="35" t="n"/>
      <c r="B286" s="36" t="n"/>
      <c r="C286" s="37">
        <f>IF(B286="","",IFERROR(INDEX('案件'!$B$6:$B$105,MATCH(B286,'案件'!$A$6:$A$105,0))&amp;"","（案件シートに無い番号）"))</f>
        <v/>
      </c>
      <c r="D286" s="36" t="n"/>
      <c r="E286" s="38" t="n"/>
      <c r="F286" s="39" t="n"/>
      <c r="G286" s="36" t="n"/>
      <c r="H286" s="40" t="n"/>
      <c r="I286" s="40" t="n"/>
      <c r="J286" s="41">
        <f>IF(ISNUMBER(H286),H286,IF(AND(D286="労務費",TRIM(E286)&lt;&gt;""),IFERROR(INDEX('設定'!$G$12:$G$31,MATCH(TRIM(E286),'設定'!$J$12:$J$31,0)),""),""))</f>
        <v/>
      </c>
      <c r="K286" s="30">
        <f>IF(AND(ISNUMBER(F286),ISNUMBER(J286)),ROUND(F286*J286,0),IF(ISNUMBER(I286),I286,""))</f>
        <v/>
      </c>
      <c r="L286" s="33" t="n"/>
      <c r="M286" s="34">
        <f>IF(COUNTA(A286:B286,D286:I286,L286)=0,"",IF(B286="","案件番号がありません",IF(ISNA(MATCH(B286,'案件'!$A$6:$A$105,0)),"案件シートに無い番号です",IF(NOT(OR(D286="材料費",D286="労務費",D286="外注費",D286="経費")),"費目を4つから選んでください",IF(K286="",IF(AND(ISNUMBER(F286),NOT(ISNUMBER(J286))),IF(D286="労務費","単価がありません（設定の作業者名と同じ書き方に）","単価がありません"),IF(AND(ISNUMBER(J286),NOT(ISNUMBER(F286))),"数量がありません","金額がありません")),IF(NOT(ISNUMBER(A286)),"日付がありません（月別集計に入りません）",IF(AND(ISNUMBER(F286),ISNUMBER(J286),ISNUMBER(I286)),"数量×単価を使いました（金額の欄は使っていません）","")))))))</f>
        <v/>
      </c>
      <c r="N286" s="91">
        <f>IF(AND(B286&lt;&gt;"",B286='案件カード'!$C$3),COUNTIF($B$5:B286,'案件カード'!$C$3),"")</f>
        <v/>
      </c>
      <c r="O286" s="91">
        <f>IF(ISNUMBER(K286),IF(B286="",K286,IF(AND(ISNUMBER(MATCH(B286,'案件'!$A$6:$A$105,0)),OR(D286="材料費",D286="労務費",D286="外注費",D286="経費")),0,K286)),0)</f>
        <v/>
      </c>
    </row>
    <row r="287" ht="16" customHeight="1">
      <c r="A287" s="35" t="n"/>
      <c r="B287" s="36" t="n"/>
      <c r="C287" s="37">
        <f>IF(B287="","",IFERROR(INDEX('案件'!$B$6:$B$105,MATCH(B287,'案件'!$A$6:$A$105,0))&amp;"","（案件シートに無い番号）"))</f>
        <v/>
      </c>
      <c r="D287" s="36" t="n"/>
      <c r="E287" s="38" t="n"/>
      <c r="F287" s="39" t="n"/>
      <c r="G287" s="36" t="n"/>
      <c r="H287" s="40" t="n"/>
      <c r="I287" s="40" t="n"/>
      <c r="J287" s="41">
        <f>IF(ISNUMBER(H287),H287,IF(AND(D287="労務費",TRIM(E287)&lt;&gt;""),IFERROR(INDEX('設定'!$G$12:$G$31,MATCH(TRIM(E287),'設定'!$J$12:$J$31,0)),""),""))</f>
        <v/>
      </c>
      <c r="K287" s="30">
        <f>IF(AND(ISNUMBER(F287),ISNUMBER(J287)),ROUND(F287*J287,0),IF(ISNUMBER(I287),I287,""))</f>
        <v/>
      </c>
      <c r="L287" s="33" t="n"/>
      <c r="M287" s="34">
        <f>IF(COUNTA(A287:B287,D287:I287,L287)=0,"",IF(B287="","案件番号がありません",IF(ISNA(MATCH(B287,'案件'!$A$6:$A$105,0)),"案件シートに無い番号です",IF(NOT(OR(D287="材料費",D287="労務費",D287="外注費",D287="経費")),"費目を4つから選んでください",IF(K287="",IF(AND(ISNUMBER(F287),NOT(ISNUMBER(J287))),IF(D287="労務費","単価がありません（設定の作業者名と同じ書き方に）","単価がありません"),IF(AND(ISNUMBER(J287),NOT(ISNUMBER(F287))),"数量がありません","金額がありません")),IF(NOT(ISNUMBER(A287)),"日付がありません（月別集計に入りません）",IF(AND(ISNUMBER(F287),ISNUMBER(J287),ISNUMBER(I287)),"数量×単価を使いました（金額の欄は使っていません）","")))))))</f>
        <v/>
      </c>
      <c r="N287" s="91">
        <f>IF(AND(B287&lt;&gt;"",B287='案件カード'!$C$3),COUNTIF($B$5:B287,'案件カード'!$C$3),"")</f>
        <v/>
      </c>
      <c r="O287" s="91">
        <f>IF(ISNUMBER(K287),IF(B287="",K287,IF(AND(ISNUMBER(MATCH(B287,'案件'!$A$6:$A$105,0)),OR(D287="材料費",D287="労務費",D287="外注費",D287="経費")),0,K287)),0)</f>
        <v/>
      </c>
    </row>
    <row r="288" ht="16" customHeight="1">
      <c r="A288" s="35" t="n"/>
      <c r="B288" s="36" t="n"/>
      <c r="C288" s="37">
        <f>IF(B288="","",IFERROR(INDEX('案件'!$B$6:$B$105,MATCH(B288,'案件'!$A$6:$A$105,0))&amp;"","（案件シートに無い番号）"))</f>
        <v/>
      </c>
      <c r="D288" s="36" t="n"/>
      <c r="E288" s="38" t="n"/>
      <c r="F288" s="39" t="n"/>
      <c r="G288" s="36" t="n"/>
      <c r="H288" s="40" t="n"/>
      <c r="I288" s="40" t="n"/>
      <c r="J288" s="41">
        <f>IF(ISNUMBER(H288),H288,IF(AND(D288="労務費",TRIM(E288)&lt;&gt;""),IFERROR(INDEX('設定'!$G$12:$G$31,MATCH(TRIM(E288),'設定'!$J$12:$J$31,0)),""),""))</f>
        <v/>
      </c>
      <c r="K288" s="30">
        <f>IF(AND(ISNUMBER(F288),ISNUMBER(J288)),ROUND(F288*J288,0),IF(ISNUMBER(I288),I288,""))</f>
        <v/>
      </c>
      <c r="L288" s="33" t="n"/>
      <c r="M288" s="34">
        <f>IF(COUNTA(A288:B288,D288:I288,L288)=0,"",IF(B288="","案件番号がありません",IF(ISNA(MATCH(B288,'案件'!$A$6:$A$105,0)),"案件シートに無い番号です",IF(NOT(OR(D288="材料費",D288="労務費",D288="外注費",D288="経費")),"費目を4つから選んでください",IF(K288="",IF(AND(ISNUMBER(F288),NOT(ISNUMBER(J288))),IF(D288="労務費","単価がありません（設定の作業者名と同じ書き方に）","単価がありません"),IF(AND(ISNUMBER(J288),NOT(ISNUMBER(F288))),"数量がありません","金額がありません")),IF(NOT(ISNUMBER(A288)),"日付がありません（月別集計に入りません）",IF(AND(ISNUMBER(F288),ISNUMBER(J288),ISNUMBER(I288)),"数量×単価を使いました（金額の欄は使っていません）","")))))))</f>
        <v/>
      </c>
      <c r="N288" s="91">
        <f>IF(AND(B288&lt;&gt;"",B288='案件カード'!$C$3),COUNTIF($B$5:B288,'案件カード'!$C$3),"")</f>
        <v/>
      </c>
      <c r="O288" s="91">
        <f>IF(ISNUMBER(K288),IF(B288="",K288,IF(AND(ISNUMBER(MATCH(B288,'案件'!$A$6:$A$105,0)),OR(D288="材料費",D288="労務費",D288="外注費",D288="経費")),0,K288)),0)</f>
        <v/>
      </c>
    </row>
    <row r="289" ht="16" customHeight="1">
      <c r="A289" s="35" t="n"/>
      <c r="B289" s="36" t="n"/>
      <c r="C289" s="37">
        <f>IF(B289="","",IFERROR(INDEX('案件'!$B$6:$B$105,MATCH(B289,'案件'!$A$6:$A$105,0))&amp;"","（案件シートに無い番号）"))</f>
        <v/>
      </c>
      <c r="D289" s="36" t="n"/>
      <c r="E289" s="38" t="n"/>
      <c r="F289" s="39" t="n"/>
      <c r="G289" s="36" t="n"/>
      <c r="H289" s="40" t="n"/>
      <c r="I289" s="40" t="n"/>
      <c r="J289" s="41">
        <f>IF(ISNUMBER(H289),H289,IF(AND(D289="労務費",TRIM(E289)&lt;&gt;""),IFERROR(INDEX('設定'!$G$12:$G$31,MATCH(TRIM(E289),'設定'!$J$12:$J$31,0)),""),""))</f>
        <v/>
      </c>
      <c r="K289" s="30">
        <f>IF(AND(ISNUMBER(F289),ISNUMBER(J289)),ROUND(F289*J289,0),IF(ISNUMBER(I289),I289,""))</f>
        <v/>
      </c>
      <c r="L289" s="33" t="n"/>
      <c r="M289" s="34">
        <f>IF(COUNTA(A289:B289,D289:I289,L289)=0,"",IF(B289="","案件番号がありません",IF(ISNA(MATCH(B289,'案件'!$A$6:$A$105,0)),"案件シートに無い番号です",IF(NOT(OR(D289="材料費",D289="労務費",D289="外注費",D289="経費")),"費目を4つから選んでください",IF(K289="",IF(AND(ISNUMBER(F289),NOT(ISNUMBER(J289))),IF(D289="労務費","単価がありません（設定の作業者名と同じ書き方に）","単価がありません"),IF(AND(ISNUMBER(J289),NOT(ISNUMBER(F289))),"数量がありません","金額がありません")),IF(NOT(ISNUMBER(A289)),"日付がありません（月別集計に入りません）",IF(AND(ISNUMBER(F289),ISNUMBER(J289),ISNUMBER(I289)),"数量×単価を使いました（金額の欄は使っていません）","")))))))</f>
        <v/>
      </c>
      <c r="N289" s="91">
        <f>IF(AND(B289&lt;&gt;"",B289='案件カード'!$C$3),COUNTIF($B$5:B289,'案件カード'!$C$3),"")</f>
        <v/>
      </c>
      <c r="O289" s="91">
        <f>IF(ISNUMBER(K289),IF(B289="",K289,IF(AND(ISNUMBER(MATCH(B289,'案件'!$A$6:$A$105,0)),OR(D289="材料費",D289="労務費",D289="外注費",D289="経費")),0,K289)),0)</f>
        <v/>
      </c>
    </row>
    <row r="290" ht="16" customHeight="1">
      <c r="A290" s="35" t="n"/>
      <c r="B290" s="36" t="n"/>
      <c r="C290" s="37">
        <f>IF(B290="","",IFERROR(INDEX('案件'!$B$6:$B$105,MATCH(B290,'案件'!$A$6:$A$105,0))&amp;"","（案件シートに無い番号）"))</f>
        <v/>
      </c>
      <c r="D290" s="36" t="n"/>
      <c r="E290" s="38" t="n"/>
      <c r="F290" s="39" t="n"/>
      <c r="G290" s="36" t="n"/>
      <c r="H290" s="40" t="n"/>
      <c r="I290" s="40" t="n"/>
      <c r="J290" s="41">
        <f>IF(ISNUMBER(H290),H290,IF(AND(D290="労務費",TRIM(E290)&lt;&gt;""),IFERROR(INDEX('設定'!$G$12:$G$31,MATCH(TRIM(E290),'設定'!$J$12:$J$31,0)),""),""))</f>
        <v/>
      </c>
      <c r="K290" s="30">
        <f>IF(AND(ISNUMBER(F290),ISNUMBER(J290)),ROUND(F290*J290,0),IF(ISNUMBER(I290),I290,""))</f>
        <v/>
      </c>
      <c r="L290" s="33" t="n"/>
      <c r="M290" s="34">
        <f>IF(COUNTA(A290:B290,D290:I290,L290)=0,"",IF(B290="","案件番号がありません",IF(ISNA(MATCH(B290,'案件'!$A$6:$A$105,0)),"案件シートに無い番号です",IF(NOT(OR(D290="材料費",D290="労務費",D290="外注費",D290="経費")),"費目を4つから選んでください",IF(K290="",IF(AND(ISNUMBER(F290),NOT(ISNUMBER(J290))),IF(D290="労務費","単価がありません（設定の作業者名と同じ書き方に）","単価がありません"),IF(AND(ISNUMBER(J290),NOT(ISNUMBER(F290))),"数量がありません","金額がありません")),IF(NOT(ISNUMBER(A290)),"日付がありません（月別集計に入りません）",IF(AND(ISNUMBER(F290),ISNUMBER(J290),ISNUMBER(I290)),"数量×単価を使いました（金額の欄は使っていません）","")))))))</f>
        <v/>
      </c>
      <c r="N290" s="91">
        <f>IF(AND(B290&lt;&gt;"",B290='案件カード'!$C$3),COUNTIF($B$5:B290,'案件カード'!$C$3),"")</f>
        <v/>
      </c>
      <c r="O290" s="91">
        <f>IF(ISNUMBER(K290),IF(B290="",K290,IF(AND(ISNUMBER(MATCH(B290,'案件'!$A$6:$A$105,0)),OR(D290="材料費",D290="労務費",D290="外注費",D290="経費")),0,K290)),0)</f>
        <v/>
      </c>
    </row>
    <row r="291" ht="16" customHeight="1">
      <c r="A291" s="35" t="n"/>
      <c r="B291" s="36" t="n"/>
      <c r="C291" s="37">
        <f>IF(B291="","",IFERROR(INDEX('案件'!$B$6:$B$105,MATCH(B291,'案件'!$A$6:$A$105,0))&amp;"","（案件シートに無い番号）"))</f>
        <v/>
      </c>
      <c r="D291" s="36" t="n"/>
      <c r="E291" s="38" t="n"/>
      <c r="F291" s="39" t="n"/>
      <c r="G291" s="36" t="n"/>
      <c r="H291" s="40" t="n"/>
      <c r="I291" s="40" t="n"/>
      <c r="J291" s="41">
        <f>IF(ISNUMBER(H291),H291,IF(AND(D291="労務費",TRIM(E291)&lt;&gt;""),IFERROR(INDEX('設定'!$G$12:$G$31,MATCH(TRIM(E291),'設定'!$J$12:$J$31,0)),""),""))</f>
        <v/>
      </c>
      <c r="K291" s="30">
        <f>IF(AND(ISNUMBER(F291),ISNUMBER(J291)),ROUND(F291*J291,0),IF(ISNUMBER(I291),I291,""))</f>
        <v/>
      </c>
      <c r="L291" s="33" t="n"/>
      <c r="M291" s="34">
        <f>IF(COUNTA(A291:B291,D291:I291,L291)=0,"",IF(B291="","案件番号がありません",IF(ISNA(MATCH(B291,'案件'!$A$6:$A$105,0)),"案件シートに無い番号です",IF(NOT(OR(D291="材料費",D291="労務費",D291="外注費",D291="経費")),"費目を4つから選んでください",IF(K291="",IF(AND(ISNUMBER(F291),NOT(ISNUMBER(J291))),IF(D291="労務費","単価がありません（設定の作業者名と同じ書き方に）","単価がありません"),IF(AND(ISNUMBER(J291),NOT(ISNUMBER(F291))),"数量がありません","金額がありません")),IF(NOT(ISNUMBER(A291)),"日付がありません（月別集計に入りません）",IF(AND(ISNUMBER(F291),ISNUMBER(J291),ISNUMBER(I291)),"数量×単価を使いました（金額の欄は使っていません）","")))))))</f>
        <v/>
      </c>
      <c r="N291" s="91">
        <f>IF(AND(B291&lt;&gt;"",B291='案件カード'!$C$3),COUNTIF($B$5:B291,'案件カード'!$C$3),"")</f>
        <v/>
      </c>
      <c r="O291" s="91">
        <f>IF(ISNUMBER(K291),IF(B291="",K291,IF(AND(ISNUMBER(MATCH(B291,'案件'!$A$6:$A$105,0)),OR(D291="材料費",D291="労務費",D291="外注費",D291="経費")),0,K291)),0)</f>
        <v/>
      </c>
    </row>
    <row r="292" ht="16" customHeight="1">
      <c r="A292" s="35" t="n"/>
      <c r="B292" s="36" t="n"/>
      <c r="C292" s="37">
        <f>IF(B292="","",IFERROR(INDEX('案件'!$B$6:$B$105,MATCH(B292,'案件'!$A$6:$A$105,0))&amp;"","（案件シートに無い番号）"))</f>
        <v/>
      </c>
      <c r="D292" s="36" t="n"/>
      <c r="E292" s="38" t="n"/>
      <c r="F292" s="39" t="n"/>
      <c r="G292" s="36" t="n"/>
      <c r="H292" s="40" t="n"/>
      <c r="I292" s="40" t="n"/>
      <c r="J292" s="41">
        <f>IF(ISNUMBER(H292),H292,IF(AND(D292="労務費",TRIM(E292)&lt;&gt;""),IFERROR(INDEX('設定'!$G$12:$G$31,MATCH(TRIM(E292),'設定'!$J$12:$J$31,0)),""),""))</f>
        <v/>
      </c>
      <c r="K292" s="30">
        <f>IF(AND(ISNUMBER(F292),ISNUMBER(J292)),ROUND(F292*J292,0),IF(ISNUMBER(I292),I292,""))</f>
        <v/>
      </c>
      <c r="L292" s="33" t="n"/>
      <c r="M292" s="34">
        <f>IF(COUNTA(A292:B292,D292:I292,L292)=0,"",IF(B292="","案件番号がありません",IF(ISNA(MATCH(B292,'案件'!$A$6:$A$105,0)),"案件シートに無い番号です",IF(NOT(OR(D292="材料費",D292="労務費",D292="外注費",D292="経費")),"費目を4つから選んでください",IF(K292="",IF(AND(ISNUMBER(F292),NOT(ISNUMBER(J292))),IF(D292="労務費","単価がありません（設定の作業者名と同じ書き方に）","単価がありません"),IF(AND(ISNUMBER(J292),NOT(ISNUMBER(F292))),"数量がありません","金額がありません")),IF(NOT(ISNUMBER(A292)),"日付がありません（月別集計に入りません）",IF(AND(ISNUMBER(F292),ISNUMBER(J292),ISNUMBER(I292)),"数量×単価を使いました（金額の欄は使っていません）","")))))))</f>
        <v/>
      </c>
      <c r="N292" s="91">
        <f>IF(AND(B292&lt;&gt;"",B292='案件カード'!$C$3),COUNTIF($B$5:B292,'案件カード'!$C$3),"")</f>
        <v/>
      </c>
      <c r="O292" s="91">
        <f>IF(ISNUMBER(K292),IF(B292="",K292,IF(AND(ISNUMBER(MATCH(B292,'案件'!$A$6:$A$105,0)),OR(D292="材料費",D292="労務費",D292="外注費",D292="経費")),0,K292)),0)</f>
        <v/>
      </c>
    </row>
    <row r="293" ht="16" customHeight="1">
      <c r="A293" s="35" t="n"/>
      <c r="B293" s="36" t="n"/>
      <c r="C293" s="37">
        <f>IF(B293="","",IFERROR(INDEX('案件'!$B$6:$B$105,MATCH(B293,'案件'!$A$6:$A$105,0))&amp;"","（案件シートに無い番号）"))</f>
        <v/>
      </c>
      <c r="D293" s="36" t="n"/>
      <c r="E293" s="38" t="n"/>
      <c r="F293" s="39" t="n"/>
      <c r="G293" s="36" t="n"/>
      <c r="H293" s="40" t="n"/>
      <c r="I293" s="40" t="n"/>
      <c r="J293" s="41">
        <f>IF(ISNUMBER(H293),H293,IF(AND(D293="労務費",TRIM(E293)&lt;&gt;""),IFERROR(INDEX('設定'!$G$12:$G$31,MATCH(TRIM(E293),'設定'!$J$12:$J$31,0)),""),""))</f>
        <v/>
      </c>
      <c r="K293" s="30">
        <f>IF(AND(ISNUMBER(F293),ISNUMBER(J293)),ROUND(F293*J293,0),IF(ISNUMBER(I293),I293,""))</f>
        <v/>
      </c>
      <c r="L293" s="33" t="n"/>
      <c r="M293" s="34">
        <f>IF(COUNTA(A293:B293,D293:I293,L293)=0,"",IF(B293="","案件番号がありません",IF(ISNA(MATCH(B293,'案件'!$A$6:$A$105,0)),"案件シートに無い番号です",IF(NOT(OR(D293="材料費",D293="労務費",D293="外注費",D293="経費")),"費目を4つから選んでください",IF(K293="",IF(AND(ISNUMBER(F293),NOT(ISNUMBER(J293))),IF(D293="労務費","単価がありません（設定の作業者名と同じ書き方に）","単価がありません"),IF(AND(ISNUMBER(J293),NOT(ISNUMBER(F293))),"数量がありません","金額がありません")),IF(NOT(ISNUMBER(A293)),"日付がありません（月別集計に入りません）",IF(AND(ISNUMBER(F293),ISNUMBER(J293),ISNUMBER(I293)),"数量×単価を使いました（金額の欄は使っていません）","")))))))</f>
        <v/>
      </c>
      <c r="N293" s="91">
        <f>IF(AND(B293&lt;&gt;"",B293='案件カード'!$C$3),COUNTIF($B$5:B293,'案件カード'!$C$3),"")</f>
        <v/>
      </c>
      <c r="O293" s="91">
        <f>IF(ISNUMBER(K293),IF(B293="",K293,IF(AND(ISNUMBER(MATCH(B293,'案件'!$A$6:$A$105,0)),OR(D293="材料費",D293="労務費",D293="外注費",D293="経費")),0,K293)),0)</f>
        <v/>
      </c>
    </row>
    <row r="294" ht="16" customHeight="1">
      <c r="A294" s="35" t="n"/>
      <c r="B294" s="36" t="n"/>
      <c r="C294" s="37">
        <f>IF(B294="","",IFERROR(INDEX('案件'!$B$6:$B$105,MATCH(B294,'案件'!$A$6:$A$105,0))&amp;"","（案件シートに無い番号）"))</f>
        <v/>
      </c>
      <c r="D294" s="36" t="n"/>
      <c r="E294" s="38" t="n"/>
      <c r="F294" s="39" t="n"/>
      <c r="G294" s="36" t="n"/>
      <c r="H294" s="40" t="n"/>
      <c r="I294" s="40" t="n"/>
      <c r="J294" s="41">
        <f>IF(ISNUMBER(H294),H294,IF(AND(D294="労務費",TRIM(E294)&lt;&gt;""),IFERROR(INDEX('設定'!$G$12:$G$31,MATCH(TRIM(E294),'設定'!$J$12:$J$31,0)),""),""))</f>
        <v/>
      </c>
      <c r="K294" s="30">
        <f>IF(AND(ISNUMBER(F294),ISNUMBER(J294)),ROUND(F294*J294,0),IF(ISNUMBER(I294),I294,""))</f>
        <v/>
      </c>
      <c r="L294" s="33" t="n"/>
      <c r="M294" s="34">
        <f>IF(COUNTA(A294:B294,D294:I294,L294)=0,"",IF(B294="","案件番号がありません",IF(ISNA(MATCH(B294,'案件'!$A$6:$A$105,0)),"案件シートに無い番号です",IF(NOT(OR(D294="材料費",D294="労務費",D294="外注費",D294="経費")),"費目を4つから選んでください",IF(K294="",IF(AND(ISNUMBER(F294),NOT(ISNUMBER(J294))),IF(D294="労務費","単価がありません（設定の作業者名と同じ書き方に）","単価がありません"),IF(AND(ISNUMBER(J294),NOT(ISNUMBER(F294))),"数量がありません","金額がありません")),IF(NOT(ISNUMBER(A294)),"日付がありません（月別集計に入りません）",IF(AND(ISNUMBER(F294),ISNUMBER(J294),ISNUMBER(I294)),"数量×単価を使いました（金額の欄は使っていません）","")))))))</f>
        <v/>
      </c>
      <c r="N294" s="91">
        <f>IF(AND(B294&lt;&gt;"",B294='案件カード'!$C$3),COUNTIF($B$5:B294,'案件カード'!$C$3),"")</f>
        <v/>
      </c>
      <c r="O294" s="91">
        <f>IF(ISNUMBER(K294),IF(B294="",K294,IF(AND(ISNUMBER(MATCH(B294,'案件'!$A$6:$A$105,0)),OR(D294="材料費",D294="労務費",D294="外注費",D294="経費")),0,K294)),0)</f>
        <v/>
      </c>
    </row>
    <row r="295" ht="16" customHeight="1">
      <c r="A295" s="35" t="n"/>
      <c r="B295" s="36" t="n"/>
      <c r="C295" s="37">
        <f>IF(B295="","",IFERROR(INDEX('案件'!$B$6:$B$105,MATCH(B295,'案件'!$A$6:$A$105,0))&amp;"","（案件シートに無い番号）"))</f>
        <v/>
      </c>
      <c r="D295" s="36" t="n"/>
      <c r="E295" s="38" t="n"/>
      <c r="F295" s="39" t="n"/>
      <c r="G295" s="36" t="n"/>
      <c r="H295" s="40" t="n"/>
      <c r="I295" s="40" t="n"/>
      <c r="J295" s="41">
        <f>IF(ISNUMBER(H295),H295,IF(AND(D295="労務費",TRIM(E295)&lt;&gt;""),IFERROR(INDEX('設定'!$G$12:$G$31,MATCH(TRIM(E295),'設定'!$J$12:$J$31,0)),""),""))</f>
        <v/>
      </c>
      <c r="K295" s="30">
        <f>IF(AND(ISNUMBER(F295),ISNUMBER(J295)),ROUND(F295*J295,0),IF(ISNUMBER(I295),I295,""))</f>
        <v/>
      </c>
      <c r="L295" s="33" t="n"/>
      <c r="M295" s="34">
        <f>IF(COUNTA(A295:B295,D295:I295,L295)=0,"",IF(B295="","案件番号がありません",IF(ISNA(MATCH(B295,'案件'!$A$6:$A$105,0)),"案件シートに無い番号です",IF(NOT(OR(D295="材料費",D295="労務費",D295="外注費",D295="経費")),"費目を4つから選んでください",IF(K295="",IF(AND(ISNUMBER(F295),NOT(ISNUMBER(J295))),IF(D295="労務費","単価がありません（設定の作業者名と同じ書き方に）","単価がありません"),IF(AND(ISNUMBER(J295),NOT(ISNUMBER(F295))),"数量がありません","金額がありません")),IF(NOT(ISNUMBER(A295)),"日付がありません（月別集計に入りません）",IF(AND(ISNUMBER(F295),ISNUMBER(J295),ISNUMBER(I295)),"数量×単価を使いました（金額の欄は使っていません）","")))))))</f>
        <v/>
      </c>
      <c r="N295" s="91">
        <f>IF(AND(B295&lt;&gt;"",B295='案件カード'!$C$3),COUNTIF($B$5:B295,'案件カード'!$C$3),"")</f>
        <v/>
      </c>
      <c r="O295" s="91">
        <f>IF(ISNUMBER(K295),IF(B295="",K295,IF(AND(ISNUMBER(MATCH(B295,'案件'!$A$6:$A$105,0)),OR(D295="材料費",D295="労務費",D295="外注費",D295="経費")),0,K295)),0)</f>
        <v/>
      </c>
    </row>
    <row r="296" ht="16" customHeight="1">
      <c r="A296" s="35" t="n"/>
      <c r="B296" s="36" t="n"/>
      <c r="C296" s="37">
        <f>IF(B296="","",IFERROR(INDEX('案件'!$B$6:$B$105,MATCH(B296,'案件'!$A$6:$A$105,0))&amp;"","（案件シートに無い番号）"))</f>
        <v/>
      </c>
      <c r="D296" s="36" t="n"/>
      <c r="E296" s="38" t="n"/>
      <c r="F296" s="39" t="n"/>
      <c r="G296" s="36" t="n"/>
      <c r="H296" s="40" t="n"/>
      <c r="I296" s="40" t="n"/>
      <c r="J296" s="41">
        <f>IF(ISNUMBER(H296),H296,IF(AND(D296="労務費",TRIM(E296)&lt;&gt;""),IFERROR(INDEX('設定'!$G$12:$G$31,MATCH(TRIM(E296),'設定'!$J$12:$J$31,0)),""),""))</f>
        <v/>
      </c>
      <c r="K296" s="30">
        <f>IF(AND(ISNUMBER(F296),ISNUMBER(J296)),ROUND(F296*J296,0),IF(ISNUMBER(I296),I296,""))</f>
        <v/>
      </c>
      <c r="L296" s="33" t="n"/>
      <c r="M296" s="34">
        <f>IF(COUNTA(A296:B296,D296:I296,L296)=0,"",IF(B296="","案件番号がありません",IF(ISNA(MATCH(B296,'案件'!$A$6:$A$105,0)),"案件シートに無い番号です",IF(NOT(OR(D296="材料費",D296="労務費",D296="外注費",D296="経費")),"費目を4つから選んでください",IF(K296="",IF(AND(ISNUMBER(F296),NOT(ISNUMBER(J296))),IF(D296="労務費","単価がありません（設定の作業者名と同じ書き方に）","単価がありません"),IF(AND(ISNUMBER(J296),NOT(ISNUMBER(F296))),"数量がありません","金額がありません")),IF(NOT(ISNUMBER(A296)),"日付がありません（月別集計に入りません）",IF(AND(ISNUMBER(F296),ISNUMBER(J296),ISNUMBER(I296)),"数量×単価を使いました（金額の欄は使っていません）","")))))))</f>
        <v/>
      </c>
      <c r="N296" s="91">
        <f>IF(AND(B296&lt;&gt;"",B296='案件カード'!$C$3),COUNTIF($B$5:B296,'案件カード'!$C$3),"")</f>
        <v/>
      </c>
      <c r="O296" s="91">
        <f>IF(ISNUMBER(K296),IF(B296="",K296,IF(AND(ISNUMBER(MATCH(B296,'案件'!$A$6:$A$105,0)),OR(D296="材料費",D296="労務費",D296="外注費",D296="経費")),0,K296)),0)</f>
        <v/>
      </c>
    </row>
    <row r="297" ht="16" customHeight="1">
      <c r="A297" s="35" t="n"/>
      <c r="B297" s="36" t="n"/>
      <c r="C297" s="37">
        <f>IF(B297="","",IFERROR(INDEX('案件'!$B$6:$B$105,MATCH(B297,'案件'!$A$6:$A$105,0))&amp;"","（案件シートに無い番号）"))</f>
        <v/>
      </c>
      <c r="D297" s="36" t="n"/>
      <c r="E297" s="38" t="n"/>
      <c r="F297" s="39" t="n"/>
      <c r="G297" s="36" t="n"/>
      <c r="H297" s="40" t="n"/>
      <c r="I297" s="40" t="n"/>
      <c r="J297" s="41">
        <f>IF(ISNUMBER(H297),H297,IF(AND(D297="労務費",TRIM(E297)&lt;&gt;""),IFERROR(INDEX('設定'!$G$12:$G$31,MATCH(TRIM(E297),'設定'!$J$12:$J$31,0)),""),""))</f>
        <v/>
      </c>
      <c r="K297" s="30">
        <f>IF(AND(ISNUMBER(F297),ISNUMBER(J297)),ROUND(F297*J297,0),IF(ISNUMBER(I297),I297,""))</f>
        <v/>
      </c>
      <c r="L297" s="33" t="n"/>
      <c r="M297" s="34">
        <f>IF(COUNTA(A297:B297,D297:I297,L297)=0,"",IF(B297="","案件番号がありません",IF(ISNA(MATCH(B297,'案件'!$A$6:$A$105,0)),"案件シートに無い番号です",IF(NOT(OR(D297="材料費",D297="労務費",D297="外注費",D297="経費")),"費目を4つから選んでください",IF(K297="",IF(AND(ISNUMBER(F297),NOT(ISNUMBER(J297))),IF(D297="労務費","単価がありません（設定の作業者名と同じ書き方に）","単価がありません"),IF(AND(ISNUMBER(J297),NOT(ISNUMBER(F297))),"数量がありません","金額がありません")),IF(NOT(ISNUMBER(A297)),"日付がありません（月別集計に入りません）",IF(AND(ISNUMBER(F297),ISNUMBER(J297),ISNUMBER(I297)),"数量×単価を使いました（金額の欄は使っていません）","")))))))</f>
        <v/>
      </c>
      <c r="N297" s="91">
        <f>IF(AND(B297&lt;&gt;"",B297='案件カード'!$C$3),COUNTIF($B$5:B297,'案件カード'!$C$3),"")</f>
        <v/>
      </c>
      <c r="O297" s="91">
        <f>IF(ISNUMBER(K297),IF(B297="",K297,IF(AND(ISNUMBER(MATCH(B297,'案件'!$A$6:$A$105,0)),OR(D297="材料費",D297="労務費",D297="外注費",D297="経費")),0,K297)),0)</f>
        <v/>
      </c>
    </row>
    <row r="298" ht="16" customHeight="1">
      <c r="A298" s="35" t="n"/>
      <c r="B298" s="36" t="n"/>
      <c r="C298" s="37">
        <f>IF(B298="","",IFERROR(INDEX('案件'!$B$6:$B$105,MATCH(B298,'案件'!$A$6:$A$105,0))&amp;"","（案件シートに無い番号）"))</f>
        <v/>
      </c>
      <c r="D298" s="36" t="n"/>
      <c r="E298" s="38" t="n"/>
      <c r="F298" s="39" t="n"/>
      <c r="G298" s="36" t="n"/>
      <c r="H298" s="40" t="n"/>
      <c r="I298" s="40" t="n"/>
      <c r="J298" s="41">
        <f>IF(ISNUMBER(H298),H298,IF(AND(D298="労務費",TRIM(E298)&lt;&gt;""),IFERROR(INDEX('設定'!$G$12:$G$31,MATCH(TRIM(E298),'設定'!$J$12:$J$31,0)),""),""))</f>
        <v/>
      </c>
      <c r="K298" s="30">
        <f>IF(AND(ISNUMBER(F298),ISNUMBER(J298)),ROUND(F298*J298,0),IF(ISNUMBER(I298),I298,""))</f>
        <v/>
      </c>
      <c r="L298" s="33" t="n"/>
      <c r="M298" s="34">
        <f>IF(COUNTA(A298:B298,D298:I298,L298)=0,"",IF(B298="","案件番号がありません",IF(ISNA(MATCH(B298,'案件'!$A$6:$A$105,0)),"案件シートに無い番号です",IF(NOT(OR(D298="材料費",D298="労務費",D298="外注費",D298="経費")),"費目を4つから選んでください",IF(K298="",IF(AND(ISNUMBER(F298),NOT(ISNUMBER(J298))),IF(D298="労務費","単価がありません（設定の作業者名と同じ書き方に）","単価がありません"),IF(AND(ISNUMBER(J298),NOT(ISNUMBER(F298))),"数量がありません","金額がありません")),IF(NOT(ISNUMBER(A298)),"日付がありません（月別集計に入りません）",IF(AND(ISNUMBER(F298),ISNUMBER(J298),ISNUMBER(I298)),"数量×単価を使いました（金額の欄は使っていません）","")))))))</f>
        <v/>
      </c>
      <c r="N298" s="91">
        <f>IF(AND(B298&lt;&gt;"",B298='案件カード'!$C$3),COUNTIF($B$5:B298,'案件カード'!$C$3),"")</f>
        <v/>
      </c>
      <c r="O298" s="91">
        <f>IF(ISNUMBER(K298),IF(B298="",K298,IF(AND(ISNUMBER(MATCH(B298,'案件'!$A$6:$A$105,0)),OR(D298="材料費",D298="労務費",D298="外注費",D298="経費")),0,K298)),0)</f>
        <v/>
      </c>
    </row>
    <row r="299" ht="16" customHeight="1">
      <c r="A299" s="35" t="n"/>
      <c r="B299" s="36" t="n"/>
      <c r="C299" s="37">
        <f>IF(B299="","",IFERROR(INDEX('案件'!$B$6:$B$105,MATCH(B299,'案件'!$A$6:$A$105,0))&amp;"","（案件シートに無い番号）"))</f>
        <v/>
      </c>
      <c r="D299" s="36" t="n"/>
      <c r="E299" s="38" t="n"/>
      <c r="F299" s="39" t="n"/>
      <c r="G299" s="36" t="n"/>
      <c r="H299" s="40" t="n"/>
      <c r="I299" s="40" t="n"/>
      <c r="J299" s="41">
        <f>IF(ISNUMBER(H299),H299,IF(AND(D299="労務費",TRIM(E299)&lt;&gt;""),IFERROR(INDEX('設定'!$G$12:$G$31,MATCH(TRIM(E299),'設定'!$J$12:$J$31,0)),""),""))</f>
        <v/>
      </c>
      <c r="K299" s="30">
        <f>IF(AND(ISNUMBER(F299),ISNUMBER(J299)),ROUND(F299*J299,0),IF(ISNUMBER(I299),I299,""))</f>
        <v/>
      </c>
      <c r="L299" s="33" t="n"/>
      <c r="M299" s="34">
        <f>IF(COUNTA(A299:B299,D299:I299,L299)=0,"",IF(B299="","案件番号がありません",IF(ISNA(MATCH(B299,'案件'!$A$6:$A$105,0)),"案件シートに無い番号です",IF(NOT(OR(D299="材料費",D299="労務費",D299="外注費",D299="経費")),"費目を4つから選んでください",IF(K299="",IF(AND(ISNUMBER(F299),NOT(ISNUMBER(J299))),IF(D299="労務費","単価がありません（設定の作業者名と同じ書き方に）","単価がありません"),IF(AND(ISNUMBER(J299),NOT(ISNUMBER(F299))),"数量がありません","金額がありません")),IF(NOT(ISNUMBER(A299)),"日付がありません（月別集計に入りません）",IF(AND(ISNUMBER(F299),ISNUMBER(J299),ISNUMBER(I299)),"数量×単価を使いました（金額の欄は使っていません）","")))))))</f>
        <v/>
      </c>
      <c r="N299" s="91">
        <f>IF(AND(B299&lt;&gt;"",B299='案件カード'!$C$3),COUNTIF($B$5:B299,'案件カード'!$C$3),"")</f>
        <v/>
      </c>
      <c r="O299" s="91">
        <f>IF(ISNUMBER(K299),IF(B299="",K299,IF(AND(ISNUMBER(MATCH(B299,'案件'!$A$6:$A$105,0)),OR(D299="材料費",D299="労務費",D299="外注費",D299="経費")),0,K299)),0)</f>
        <v/>
      </c>
    </row>
    <row r="300" ht="16" customHeight="1">
      <c r="A300" s="35" t="n"/>
      <c r="B300" s="36" t="n"/>
      <c r="C300" s="37">
        <f>IF(B300="","",IFERROR(INDEX('案件'!$B$6:$B$105,MATCH(B300,'案件'!$A$6:$A$105,0))&amp;"","（案件シートに無い番号）"))</f>
        <v/>
      </c>
      <c r="D300" s="36" t="n"/>
      <c r="E300" s="38" t="n"/>
      <c r="F300" s="39" t="n"/>
      <c r="G300" s="36" t="n"/>
      <c r="H300" s="40" t="n"/>
      <c r="I300" s="40" t="n"/>
      <c r="J300" s="41">
        <f>IF(ISNUMBER(H300),H300,IF(AND(D300="労務費",TRIM(E300)&lt;&gt;""),IFERROR(INDEX('設定'!$G$12:$G$31,MATCH(TRIM(E300),'設定'!$J$12:$J$31,0)),""),""))</f>
        <v/>
      </c>
      <c r="K300" s="30">
        <f>IF(AND(ISNUMBER(F300),ISNUMBER(J300)),ROUND(F300*J300,0),IF(ISNUMBER(I300),I300,""))</f>
        <v/>
      </c>
      <c r="L300" s="33" t="n"/>
      <c r="M300" s="34">
        <f>IF(COUNTA(A300:B300,D300:I300,L300)=0,"",IF(B300="","案件番号がありません",IF(ISNA(MATCH(B300,'案件'!$A$6:$A$105,0)),"案件シートに無い番号です",IF(NOT(OR(D300="材料費",D300="労務費",D300="外注費",D300="経費")),"費目を4つから選んでください",IF(K300="",IF(AND(ISNUMBER(F300),NOT(ISNUMBER(J300))),IF(D300="労務費","単価がありません（設定の作業者名と同じ書き方に）","単価がありません"),IF(AND(ISNUMBER(J300),NOT(ISNUMBER(F300))),"数量がありません","金額がありません")),IF(NOT(ISNUMBER(A300)),"日付がありません（月別集計に入りません）",IF(AND(ISNUMBER(F300),ISNUMBER(J300),ISNUMBER(I300)),"数量×単価を使いました（金額の欄は使っていません）","")))))))</f>
        <v/>
      </c>
      <c r="N300" s="91">
        <f>IF(AND(B300&lt;&gt;"",B300='案件カード'!$C$3),COUNTIF($B$5:B300,'案件カード'!$C$3),"")</f>
        <v/>
      </c>
      <c r="O300" s="91">
        <f>IF(ISNUMBER(K300),IF(B300="",K300,IF(AND(ISNUMBER(MATCH(B300,'案件'!$A$6:$A$105,0)),OR(D300="材料費",D300="労務費",D300="外注費",D300="経費")),0,K300)),0)</f>
        <v/>
      </c>
    </row>
    <row r="301" ht="16" customHeight="1">
      <c r="A301" s="35" t="n"/>
      <c r="B301" s="36" t="n"/>
      <c r="C301" s="37">
        <f>IF(B301="","",IFERROR(INDEX('案件'!$B$6:$B$105,MATCH(B301,'案件'!$A$6:$A$105,0))&amp;"","（案件シートに無い番号）"))</f>
        <v/>
      </c>
      <c r="D301" s="36" t="n"/>
      <c r="E301" s="38" t="n"/>
      <c r="F301" s="39" t="n"/>
      <c r="G301" s="36" t="n"/>
      <c r="H301" s="40" t="n"/>
      <c r="I301" s="40" t="n"/>
      <c r="J301" s="41">
        <f>IF(ISNUMBER(H301),H301,IF(AND(D301="労務費",TRIM(E301)&lt;&gt;""),IFERROR(INDEX('設定'!$G$12:$G$31,MATCH(TRIM(E301),'設定'!$J$12:$J$31,0)),""),""))</f>
        <v/>
      </c>
      <c r="K301" s="30">
        <f>IF(AND(ISNUMBER(F301),ISNUMBER(J301)),ROUND(F301*J301,0),IF(ISNUMBER(I301),I301,""))</f>
        <v/>
      </c>
      <c r="L301" s="33" t="n"/>
      <c r="M301" s="34">
        <f>IF(COUNTA(A301:B301,D301:I301,L301)=0,"",IF(B301="","案件番号がありません",IF(ISNA(MATCH(B301,'案件'!$A$6:$A$105,0)),"案件シートに無い番号です",IF(NOT(OR(D301="材料費",D301="労務費",D301="外注費",D301="経費")),"費目を4つから選んでください",IF(K301="",IF(AND(ISNUMBER(F301),NOT(ISNUMBER(J301))),IF(D301="労務費","単価がありません（設定の作業者名と同じ書き方に）","単価がありません"),IF(AND(ISNUMBER(J301),NOT(ISNUMBER(F301))),"数量がありません","金額がありません")),IF(NOT(ISNUMBER(A301)),"日付がありません（月別集計に入りません）",IF(AND(ISNUMBER(F301),ISNUMBER(J301),ISNUMBER(I301)),"数量×単価を使いました（金額の欄は使っていません）","")))))))</f>
        <v/>
      </c>
      <c r="N301" s="91">
        <f>IF(AND(B301&lt;&gt;"",B301='案件カード'!$C$3),COUNTIF($B$5:B301,'案件カード'!$C$3),"")</f>
        <v/>
      </c>
      <c r="O301" s="91">
        <f>IF(ISNUMBER(K301),IF(B301="",K301,IF(AND(ISNUMBER(MATCH(B301,'案件'!$A$6:$A$105,0)),OR(D301="材料費",D301="労務費",D301="外注費",D301="経費")),0,K301)),0)</f>
        <v/>
      </c>
    </row>
    <row r="302" ht="16" customHeight="1">
      <c r="A302" s="35" t="n"/>
      <c r="B302" s="36" t="n"/>
      <c r="C302" s="37">
        <f>IF(B302="","",IFERROR(INDEX('案件'!$B$6:$B$105,MATCH(B302,'案件'!$A$6:$A$105,0))&amp;"","（案件シートに無い番号）"))</f>
        <v/>
      </c>
      <c r="D302" s="36" t="n"/>
      <c r="E302" s="38" t="n"/>
      <c r="F302" s="39" t="n"/>
      <c r="G302" s="36" t="n"/>
      <c r="H302" s="40" t="n"/>
      <c r="I302" s="40" t="n"/>
      <c r="J302" s="41">
        <f>IF(ISNUMBER(H302),H302,IF(AND(D302="労務費",TRIM(E302)&lt;&gt;""),IFERROR(INDEX('設定'!$G$12:$G$31,MATCH(TRIM(E302),'設定'!$J$12:$J$31,0)),""),""))</f>
        <v/>
      </c>
      <c r="K302" s="30">
        <f>IF(AND(ISNUMBER(F302),ISNUMBER(J302)),ROUND(F302*J302,0),IF(ISNUMBER(I302),I302,""))</f>
        <v/>
      </c>
      <c r="L302" s="33" t="n"/>
      <c r="M302" s="34">
        <f>IF(COUNTA(A302:B302,D302:I302,L302)=0,"",IF(B302="","案件番号がありません",IF(ISNA(MATCH(B302,'案件'!$A$6:$A$105,0)),"案件シートに無い番号です",IF(NOT(OR(D302="材料費",D302="労務費",D302="外注費",D302="経費")),"費目を4つから選んでください",IF(K302="",IF(AND(ISNUMBER(F302),NOT(ISNUMBER(J302))),IF(D302="労務費","単価がありません（設定の作業者名と同じ書き方に）","単価がありません"),IF(AND(ISNUMBER(J302),NOT(ISNUMBER(F302))),"数量がありません","金額がありません")),IF(NOT(ISNUMBER(A302)),"日付がありません（月別集計に入りません）",IF(AND(ISNUMBER(F302),ISNUMBER(J302),ISNUMBER(I302)),"数量×単価を使いました（金額の欄は使っていません）","")))))))</f>
        <v/>
      </c>
      <c r="N302" s="91">
        <f>IF(AND(B302&lt;&gt;"",B302='案件カード'!$C$3),COUNTIF($B$5:B302,'案件カード'!$C$3),"")</f>
        <v/>
      </c>
      <c r="O302" s="91">
        <f>IF(ISNUMBER(K302),IF(B302="",K302,IF(AND(ISNUMBER(MATCH(B302,'案件'!$A$6:$A$105,0)),OR(D302="材料費",D302="労務費",D302="外注費",D302="経費")),0,K302)),0)</f>
        <v/>
      </c>
    </row>
    <row r="303" ht="16" customHeight="1">
      <c r="A303" s="35" t="n"/>
      <c r="B303" s="36" t="n"/>
      <c r="C303" s="37">
        <f>IF(B303="","",IFERROR(INDEX('案件'!$B$6:$B$105,MATCH(B303,'案件'!$A$6:$A$105,0))&amp;"","（案件シートに無い番号）"))</f>
        <v/>
      </c>
      <c r="D303" s="36" t="n"/>
      <c r="E303" s="38" t="n"/>
      <c r="F303" s="39" t="n"/>
      <c r="G303" s="36" t="n"/>
      <c r="H303" s="40" t="n"/>
      <c r="I303" s="40" t="n"/>
      <c r="J303" s="41">
        <f>IF(ISNUMBER(H303),H303,IF(AND(D303="労務費",TRIM(E303)&lt;&gt;""),IFERROR(INDEX('設定'!$G$12:$G$31,MATCH(TRIM(E303),'設定'!$J$12:$J$31,0)),""),""))</f>
        <v/>
      </c>
      <c r="K303" s="30">
        <f>IF(AND(ISNUMBER(F303),ISNUMBER(J303)),ROUND(F303*J303,0),IF(ISNUMBER(I303),I303,""))</f>
        <v/>
      </c>
      <c r="L303" s="33" t="n"/>
      <c r="M303" s="34">
        <f>IF(COUNTA(A303:B303,D303:I303,L303)=0,"",IF(B303="","案件番号がありません",IF(ISNA(MATCH(B303,'案件'!$A$6:$A$105,0)),"案件シートに無い番号です",IF(NOT(OR(D303="材料費",D303="労務費",D303="外注費",D303="経費")),"費目を4つから選んでください",IF(K303="",IF(AND(ISNUMBER(F303),NOT(ISNUMBER(J303))),IF(D303="労務費","単価がありません（設定の作業者名と同じ書き方に）","単価がありません"),IF(AND(ISNUMBER(J303),NOT(ISNUMBER(F303))),"数量がありません","金額がありません")),IF(NOT(ISNUMBER(A303)),"日付がありません（月別集計に入りません）",IF(AND(ISNUMBER(F303),ISNUMBER(J303),ISNUMBER(I303)),"数量×単価を使いました（金額の欄は使っていません）","")))))))</f>
        <v/>
      </c>
      <c r="N303" s="91">
        <f>IF(AND(B303&lt;&gt;"",B303='案件カード'!$C$3),COUNTIF($B$5:B303,'案件カード'!$C$3),"")</f>
        <v/>
      </c>
      <c r="O303" s="91">
        <f>IF(ISNUMBER(K303),IF(B303="",K303,IF(AND(ISNUMBER(MATCH(B303,'案件'!$A$6:$A$105,0)),OR(D303="材料費",D303="労務費",D303="外注費",D303="経費")),0,K303)),0)</f>
        <v/>
      </c>
    </row>
    <row r="304" ht="16" customHeight="1">
      <c r="A304" s="35" t="n"/>
      <c r="B304" s="36" t="n"/>
      <c r="C304" s="37">
        <f>IF(B304="","",IFERROR(INDEX('案件'!$B$6:$B$105,MATCH(B304,'案件'!$A$6:$A$105,0))&amp;"","（案件シートに無い番号）"))</f>
        <v/>
      </c>
      <c r="D304" s="36" t="n"/>
      <c r="E304" s="38" t="n"/>
      <c r="F304" s="39" t="n"/>
      <c r="G304" s="36" t="n"/>
      <c r="H304" s="40" t="n"/>
      <c r="I304" s="40" t="n"/>
      <c r="J304" s="41">
        <f>IF(ISNUMBER(H304),H304,IF(AND(D304="労務費",TRIM(E304)&lt;&gt;""),IFERROR(INDEX('設定'!$G$12:$G$31,MATCH(TRIM(E304),'設定'!$J$12:$J$31,0)),""),""))</f>
        <v/>
      </c>
      <c r="K304" s="30">
        <f>IF(AND(ISNUMBER(F304),ISNUMBER(J304)),ROUND(F304*J304,0),IF(ISNUMBER(I304),I304,""))</f>
        <v/>
      </c>
      <c r="L304" s="33" t="n"/>
      <c r="M304" s="34">
        <f>IF(COUNTA(A304:B304,D304:I304,L304)=0,"",IF(B304="","案件番号がありません",IF(ISNA(MATCH(B304,'案件'!$A$6:$A$105,0)),"案件シートに無い番号です",IF(NOT(OR(D304="材料費",D304="労務費",D304="外注費",D304="経費")),"費目を4つから選んでください",IF(K304="",IF(AND(ISNUMBER(F304),NOT(ISNUMBER(J304))),IF(D304="労務費","単価がありません（設定の作業者名と同じ書き方に）","単価がありません"),IF(AND(ISNUMBER(J304),NOT(ISNUMBER(F304))),"数量がありません","金額がありません")),IF(NOT(ISNUMBER(A304)),"日付がありません（月別集計に入りません）",IF(AND(ISNUMBER(F304),ISNUMBER(J304),ISNUMBER(I304)),"数量×単価を使いました（金額の欄は使っていません）","")))))))</f>
        <v/>
      </c>
      <c r="N304" s="91">
        <f>IF(AND(B304&lt;&gt;"",B304='案件カード'!$C$3),COUNTIF($B$5:B304,'案件カード'!$C$3),"")</f>
        <v/>
      </c>
      <c r="O304" s="91">
        <f>IF(ISNUMBER(K304),IF(B304="",K304,IF(AND(ISNUMBER(MATCH(B304,'案件'!$A$6:$A$105,0)),OR(D304="材料費",D304="労務費",D304="外注費",D304="経費")),0,K304)),0)</f>
        <v/>
      </c>
    </row>
    <row r="305" ht="16" customHeight="1">
      <c r="A305" s="35" t="n"/>
      <c r="B305" s="36" t="n"/>
      <c r="C305" s="37">
        <f>IF(B305="","",IFERROR(INDEX('案件'!$B$6:$B$105,MATCH(B305,'案件'!$A$6:$A$105,0))&amp;"","（案件シートに無い番号）"))</f>
        <v/>
      </c>
      <c r="D305" s="36" t="n"/>
      <c r="E305" s="38" t="n"/>
      <c r="F305" s="39" t="n"/>
      <c r="G305" s="36" t="n"/>
      <c r="H305" s="40" t="n"/>
      <c r="I305" s="40" t="n"/>
      <c r="J305" s="41">
        <f>IF(ISNUMBER(H305),H305,IF(AND(D305="労務費",TRIM(E305)&lt;&gt;""),IFERROR(INDEX('設定'!$G$12:$G$31,MATCH(TRIM(E305),'設定'!$J$12:$J$31,0)),""),""))</f>
        <v/>
      </c>
      <c r="K305" s="30">
        <f>IF(AND(ISNUMBER(F305),ISNUMBER(J305)),ROUND(F305*J305,0),IF(ISNUMBER(I305),I305,""))</f>
        <v/>
      </c>
      <c r="L305" s="33" t="n"/>
      <c r="M305" s="34">
        <f>IF(COUNTA(A305:B305,D305:I305,L305)=0,"",IF(B305="","案件番号がありません",IF(ISNA(MATCH(B305,'案件'!$A$6:$A$105,0)),"案件シートに無い番号です",IF(NOT(OR(D305="材料費",D305="労務費",D305="外注費",D305="経費")),"費目を4つから選んでください",IF(K305="",IF(AND(ISNUMBER(F305),NOT(ISNUMBER(J305))),IF(D305="労務費","単価がありません（設定の作業者名と同じ書き方に）","単価がありません"),IF(AND(ISNUMBER(J305),NOT(ISNUMBER(F305))),"数量がありません","金額がありません")),IF(NOT(ISNUMBER(A305)),"日付がありません（月別集計に入りません）",IF(AND(ISNUMBER(F305),ISNUMBER(J305),ISNUMBER(I305)),"数量×単価を使いました（金額の欄は使っていません）","")))))))</f>
        <v/>
      </c>
      <c r="N305" s="91">
        <f>IF(AND(B305&lt;&gt;"",B305='案件カード'!$C$3),COUNTIF($B$5:B305,'案件カード'!$C$3),"")</f>
        <v/>
      </c>
      <c r="O305" s="91">
        <f>IF(ISNUMBER(K305),IF(B305="",K305,IF(AND(ISNUMBER(MATCH(B305,'案件'!$A$6:$A$105,0)),OR(D305="材料費",D305="労務費",D305="外注費",D305="経費")),0,K305)),0)</f>
        <v/>
      </c>
    </row>
    <row r="306" ht="16" customHeight="1">
      <c r="A306" s="35" t="n"/>
      <c r="B306" s="36" t="n"/>
      <c r="C306" s="37">
        <f>IF(B306="","",IFERROR(INDEX('案件'!$B$6:$B$105,MATCH(B306,'案件'!$A$6:$A$105,0))&amp;"","（案件シートに無い番号）"))</f>
        <v/>
      </c>
      <c r="D306" s="36" t="n"/>
      <c r="E306" s="38" t="n"/>
      <c r="F306" s="39" t="n"/>
      <c r="G306" s="36" t="n"/>
      <c r="H306" s="40" t="n"/>
      <c r="I306" s="40" t="n"/>
      <c r="J306" s="41">
        <f>IF(ISNUMBER(H306),H306,IF(AND(D306="労務費",TRIM(E306)&lt;&gt;""),IFERROR(INDEX('設定'!$G$12:$G$31,MATCH(TRIM(E306),'設定'!$J$12:$J$31,0)),""),""))</f>
        <v/>
      </c>
      <c r="K306" s="30">
        <f>IF(AND(ISNUMBER(F306),ISNUMBER(J306)),ROUND(F306*J306,0),IF(ISNUMBER(I306),I306,""))</f>
        <v/>
      </c>
      <c r="L306" s="33" t="n"/>
      <c r="M306" s="34">
        <f>IF(COUNTA(A306:B306,D306:I306,L306)=0,"",IF(B306="","案件番号がありません",IF(ISNA(MATCH(B306,'案件'!$A$6:$A$105,0)),"案件シートに無い番号です",IF(NOT(OR(D306="材料費",D306="労務費",D306="外注費",D306="経費")),"費目を4つから選んでください",IF(K306="",IF(AND(ISNUMBER(F306),NOT(ISNUMBER(J306))),IF(D306="労務費","単価がありません（設定の作業者名と同じ書き方に）","単価がありません"),IF(AND(ISNUMBER(J306),NOT(ISNUMBER(F306))),"数量がありません","金額がありません")),IF(NOT(ISNUMBER(A306)),"日付がありません（月別集計に入りません）",IF(AND(ISNUMBER(F306),ISNUMBER(J306),ISNUMBER(I306)),"数量×単価を使いました（金額の欄は使っていません）","")))))))</f>
        <v/>
      </c>
      <c r="N306" s="91">
        <f>IF(AND(B306&lt;&gt;"",B306='案件カード'!$C$3),COUNTIF($B$5:B306,'案件カード'!$C$3),"")</f>
        <v/>
      </c>
      <c r="O306" s="91">
        <f>IF(ISNUMBER(K306),IF(B306="",K306,IF(AND(ISNUMBER(MATCH(B306,'案件'!$A$6:$A$105,0)),OR(D306="材料費",D306="労務費",D306="外注費",D306="経費")),0,K306)),0)</f>
        <v/>
      </c>
    </row>
    <row r="307" ht="16" customHeight="1">
      <c r="A307" s="35" t="n"/>
      <c r="B307" s="36" t="n"/>
      <c r="C307" s="37">
        <f>IF(B307="","",IFERROR(INDEX('案件'!$B$6:$B$105,MATCH(B307,'案件'!$A$6:$A$105,0))&amp;"","（案件シートに無い番号）"))</f>
        <v/>
      </c>
      <c r="D307" s="36" t="n"/>
      <c r="E307" s="38" t="n"/>
      <c r="F307" s="39" t="n"/>
      <c r="G307" s="36" t="n"/>
      <c r="H307" s="40" t="n"/>
      <c r="I307" s="40" t="n"/>
      <c r="J307" s="41">
        <f>IF(ISNUMBER(H307),H307,IF(AND(D307="労務費",TRIM(E307)&lt;&gt;""),IFERROR(INDEX('設定'!$G$12:$G$31,MATCH(TRIM(E307),'設定'!$J$12:$J$31,0)),""),""))</f>
        <v/>
      </c>
      <c r="K307" s="30">
        <f>IF(AND(ISNUMBER(F307),ISNUMBER(J307)),ROUND(F307*J307,0),IF(ISNUMBER(I307),I307,""))</f>
        <v/>
      </c>
      <c r="L307" s="33" t="n"/>
      <c r="M307" s="34">
        <f>IF(COUNTA(A307:B307,D307:I307,L307)=0,"",IF(B307="","案件番号がありません",IF(ISNA(MATCH(B307,'案件'!$A$6:$A$105,0)),"案件シートに無い番号です",IF(NOT(OR(D307="材料費",D307="労務費",D307="外注費",D307="経費")),"費目を4つから選んでください",IF(K307="",IF(AND(ISNUMBER(F307),NOT(ISNUMBER(J307))),IF(D307="労務費","単価がありません（設定の作業者名と同じ書き方に）","単価がありません"),IF(AND(ISNUMBER(J307),NOT(ISNUMBER(F307))),"数量がありません","金額がありません")),IF(NOT(ISNUMBER(A307)),"日付がありません（月別集計に入りません）",IF(AND(ISNUMBER(F307),ISNUMBER(J307),ISNUMBER(I307)),"数量×単価を使いました（金額の欄は使っていません）","")))))))</f>
        <v/>
      </c>
      <c r="N307" s="91">
        <f>IF(AND(B307&lt;&gt;"",B307='案件カード'!$C$3),COUNTIF($B$5:B307,'案件カード'!$C$3),"")</f>
        <v/>
      </c>
      <c r="O307" s="91">
        <f>IF(ISNUMBER(K307),IF(B307="",K307,IF(AND(ISNUMBER(MATCH(B307,'案件'!$A$6:$A$105,0)),OR(D307="材料費",D307="労務費",D307="外注費",D307="経費")),0,K307)),0)</f>
        <v/>
      </c>
    </row>
    <row r="308" ht="16" customHeight="1">
      <c r="A308" s="35" t="n"/>
      <c r="B308" s="36" t="n"/>
      <c r="C308" s="37">
        <f>IF(B308="","",IFERROR(INDEX('案件'!$B$6:$B$105,MATCH(B308,'案件'!$A$6:$A$105,0))&amp;"","（案件シートに無い番号）"))</f>
        <v/>
      </c>
      <c r="D308" s="36" t="n"/>
      <c r="E308" s="38" t="n"/>
      <c r="F308" s="39" t="n"/>
      <c r="G308" s="36" t="n"/>
      <c r="H308" s="40" t="n"/>
      <c r="I308" s="40" t="n"/>
      <c r="J308" s="41">
        <f>IF(ISNUMBER(H308),H308,IF(AND(D308="労務費",TRIM(E308)&lt;&gt;""),IFERROR(INDEX('設定'!$G$12:$G$31,MATCH(TRIM(E308),'設定'!$J$12:$J$31,0)),""),""))</f>
        <v/>
      </c>
      <c r="K308" s="30">
        <f>IF(AND(ISNUMBER(F308),ISNUMBER(J308)),ROUND(F308*J308,0),IF(ISNUMBER(I308),I308,""))</f>
        <v/>
      </c>
      <c r="L308" s="33" t="n"/>
      <c r="M308" s="34">
        <f>IF(COUNTA(A308:B308,D308:I308,L308)=0,"",IF(B308="","案件番号がありません",IF(ISNA(MATCH(B308,'案件'!$A$6:$A$105,0)),"案件シートに無い番号です",IF(NOT(OR(D308="材料費",D308="労務費",D308="外注費",D308="経費")),"費目を4つから選んでください",IF(K308="",IF(AND(ISNUMBER(F308),NOT(ISNUMBER(J308))),IF(D308="労務費","単価がありません（設定の作業者名と同じ書き方に）","単価がありません"),IF(AND(ISNUMBER(J308),NOT(ISNUMBER(F308))),"数量がありません","金額がありません")),IF(NOT(ISNUMBER(A308)),"日付がありません（月別集計に入りません）",IF(AND(ISNUMBER(F308),ISNUMBER(J308),ISNUMBER(I308)),"数量×単価を使いました（金額の欄は使っていません）","")))))))</f>
        <v/>
      </c>
      <c r="N308" s="91">
        <f>IF(AND(B308&lt;&gt;"",B308='案件カード'!$C$3),COUNTIF($B$5:B308,'案件カード'!$C$3),"")</f>
        <v/>
      </c>
      <c r="O308" s="91">
        <f>IF(ISNUMBER(K308),IF(B308="",K308,IF(AND(ISNUMBER(MATCH(B308,'案件'!$A$6:$A$105,0)),OR(D308="材料費",D308="労務費",D308="外注費",D308="経費")),0,K308)),0)</f>
        <v/>
      </c>
    </row>
    <row r="309" ht="16" customHeight="1">
      <c r="A309" s="35" t="n"/>
      <c r="B309" s="36" t="n"/>
      <c r="C309" s="37">
        <f>IF(B309="","",IFERROR(INDEX('案件'!$B$6:$B$105,MATCH(B309,'案件'!$A$6:$A$105,0))&amp;"","（案件シートに無い番号）"))</f>
        <v/>
      </c>
      <c r="D309" s="36" t="n"/>
      <c r="E309" s="38" t="n"/>
      <c r="F309" s="39" t="n"/>
      <c r="G309" s="36" t="n"/>
      <c r="H309" s="40" t="n"/>
      <c r="I309" s="40" t="n"/>
      <c r="J309" s="41">
        <f>IF(ISNUMBER(H309),H309,IF(AND(D309="労務費",TRIM(E309)&lt;&gt;""),IFERROR(INDEX('設定'!$G$12:$G$31,MATCH(TRIM(E309),'設定'!$J$12:$J$31,0)),""),""))</f>
        <v/>
      </c>
      <c r="K309" s="30">
        <f>IF(AND(ISNUMBER(F309),ISNUMBER(J309)),ROUND(F309*J309,0),IF(ISNUMBER(I309),I309,""))</f>
        <v/>
      </c>
      <c r="L309" s="33" t="n"/>
      <c r="M309" s="34">
        <f>IF(COUNTA(A309:B309,D309:I309,L309)=0,"",IF(B309="","案件番号がありません",IF(ISNA(MATCH(B309,'案件'!$A$6:$A$105,0)),"案件シートに無い番号です",IF(NOT(OR(D309="材料費",D309="労務費",D309="外注費",D309="経費")),"費目を4つから選んでください",IF(K309="",IF(AND(ISNUMBER(F309),NOT(ISNUMBER(J309))),IF(D309="労務費","単価がありません（設定の作業者名と同じ書き方に）","単価がありません"),IF(AND(ISNUMBER(J309),NOT(ISNUMBER(F309))),"数量がありません","金額がありません")),IF(NOT(ISNUMBER(A309)),"日付がありません（月別集計に入りません）",IF(AND(ISNUMBER(F309),ISNUMBER(J309),ISNUMBER(I309)),"数量×単価を使いました（金額の欄は使っていません）","")))))))</f>
        <v/>
      </c>
      <c r="N309" s="91">
        <f>IF(AND(B309&lt;&gt;"",B309='案件カード'!$C$3),COUNTIF($B$5:B309,'案件カード'!$C$3),"")</f>
        <v/>
      </c>
      <c r="O309" s="91">
        <f>IF(ISNUMBER(K309),IF(B309="",K309,IF(AND(ISNUMBER(MATCH(B309,'案件'!$A$6:$A$105,0)),OR(D309="材料費",D309="労務費",D309="外注費",D309="経費")),0,K309)),0)</f>
        <v/>
      </c>
    </row>
    <row r="310" ht="16" customHeight="1">
      <c r="A310" s="35" t="n"/>
      <c r="B310" s="36" t="n"/>
      <c r="C310" s="37">
        <f>IF(B310="","",IFERROR(INDEX('案件'!$B$6:$B$105,MATCH(B310,'案件'!$A$6:$A$105,0))&amp;"","（案件シートに無い番号）"))</f>
        <v/>
      </c>
      <c r="D310" s="36" t="n"/>
      <c r="E310" s="38" t="n"/>
      <c r="F310" s="39" t="n"/>
      <c r="G310" s="36" t="n"/>
      <c r="H310" s="40" t="n"/>
      <c r="I310" s="40" t="n"/>
      <c r="J310" s="41">
        <f>IF(ISNUMBER(H310),H310,IF(AND(D310="労務費",TRIM(E310)&lt;&gt;""),IFERROR(INDEX('設定'!$G$12:$G$31,MATCH(TRIM(E310),'設定'!$J$12:$J$31,0)),""),""))</f>
        <v/>
      </c>
      <c r="K310" s="30">
        <f>IF(AND(ISNUMBER(F310),ISNUMBER(J310)),ROUND(F310*J310,0),IF(ISNUMBER(I310),I310,""))</f>
        <v/>
      </c>
      <c r="L310" s="33" t="n"/>
      <c r="M310" s="34">
        <f>IF(COUNTA(A310:B310,D310:I310,L310)=0,"",IF(B310="","案件番号がありません",IF(ISNA(MATCH(B310,'案件'!$A$6:$A$105,0)),"案件シートに無い番号です",IF(NOT(OR(D310="材料費",D310="労務費",D310="外注費",D310="経費")),"費目を4つから選んでください",IF(K310="",IF(AND(ISNUMBER(F310),NOT(ISNUMBER(J310))),IF(D310="労務費","単価がありません（設定の作業者名と同じ書き方に）","単価がありません"),IF(AND(ISNUMBER(J310),NOT(ISNUMBER(F310))),"数量がありません","金額がありません")),IF(NOT(ISNUMBER(A310)),"日付がありません（月別集計に入りません）",IF(AND(ISNUMBER(F310),ISNUMBER(J310),ISNUMBER(I310)),"数量×単価を使いました（金額の欄は使っていません）","")))))))</f>
        <v/>
      </c>
      <c r="N310" s="91">
        <f>IF(AND(B310&lt;&gt;"",B310='案件カード'!$C$3),COUNTIF($B$5:B310,'案件カード'!$C$3),"")</f>
        <v/>
      </c>
      <c r="O310" s="91">
        <f>IF(ISNUMBER(K310),IF(B310="",K310,IF(AND(ISNUMBER(MATCH(B310,'案件'!$A$6:$A$105,0)),OR(D310="材料費",D310="労務費",D310="外注費",D310="経費")),0,K310)),0)</f>
        <v/>
      </c>
    </row>
    <row r="311" ht="16" customHeight="1">
      <c r="A311" s="35" t="n"/>
      <c r="B311" s="36" t="n"/>
      <c r="C311" s="37">
        <f>IF(B311="","",IFERROR(INDEX('案件'!$B$6:$B$105,MATCH(B311,'案件'!$A$6:$A$105,0))&amp;"","（案件シートに無い番号）"))</f>
        <v/>
      </c>
      <c r="D311" s="36" t="n"/>
      <c r="E311" s="38" t="n"/>
      <c r="F311" s="39" t="n"/>
      <c r="G311" s="36" t="n"/>
      <c r="H311" s="40" t="n"/>
      <c r="I311" s="40" t="n"/>
      <c r="J311" s="41">
        <f>IF(ISNUMBER(H311),H311,IF(AND(D311="労務費",TRIM(E311)&lt;&gt;""),IFERROR(INDEX('設定'!$G$12:$G$31,MATCH(TRIM(E311),'設定'!$J$12:$J$31,0)),""),""))</f>
        <v/>
      </c>
      <c r="K311" s="30">
        <f>IF(AND(ISNUMBER(F311),ISNUMBER(J311)),ROUND(F311*J311,0),IF(ISNUMBER(I311),I311,""))</f>
        <v/>
      </c>
      <c r="L311" s="33" t="n"/>
      <c r="M311" s="34">
        <f>IF(COUNTA(A311:B311,D311:I311,L311)=0,"",IF(B311="","案件番号がありません",IF(ISNA(MATCH(B311,'案件'!$A$6:$A$105,0)),"案件シートに無い番号です",IF(NOT(OR(D311="材料費",D311="労務費",D311="外注費",D311="経費")),"費目を4つから選んでください",IF(K311="",IF(AND(ISNUMBER(F311),NOT(ISNUMBER(J311))),IF(D311="労務費","単価がありません（設定の作業者名と同じ書き方に）","単価がありません"),IF(AND(ISNUMBER(J311),NOT(ISNUMBER(F311))),"数量がありません","金額がありません")),IF(NOT(ISNUMBER(A311)),"日付がありません（月別集計に入りません）",IF(AND(ISNUMBER(F311),ISNUMBER(J311),ISNUMBER(I311)),"数量×単価を使いました（金額の欄は使っていません）","")))))))</f>
        <v/>
      </c>
      <c r="N311" s="91">
        <f>IF(AND(B311&lt;&gt;"",B311='案件カード'!$C$3),COUNTIF($B$5:B311,'案件カード'!$C$3),"")</f>
        <v/>
      </c>
      <c r="O311" s="91">
        <f>IF(ISNUMBER(K311),IF(B311="",K311,IF(AND(ISNUMBER(MATCH(B311,'案件'!$A$6:$A$105,0)),OR(D311="材料費",D311="労務費",D311="外注費",D311="経費")),0,K311)),0)</f>
        <v/>
      </c>
    </row>
    <row r="312" ht="16" customHeight="1">
      <c r="A312" s="35" t="n"/>
      <c r="B312" s="36" t="n"/>
      <c r="C312" s="37">
        <f>IF(B312="","",IFERROR(INDEX('案件'!$B$6:$B$105,MATCH(B312,'案件'!$A$6:$A$105,0))&amp;"","（案件シートに無い番号）"))</f>
        <v/>
      </c>
      <c r="D312" s="36" t="n"/>
      <c r="E312" s="38" t="n"/>
      <c r="F312" s="39" t="n"/>
      <c r="G312" s="36" t="n"/>
      <c r="H312" s="40" t="n"/>
      <c r="I312" s="40" t="n"/>
      <c r="J312" s="41">
        <f>IF(ISNUMBER(H312),H312,IF(AND(D312="労務費",TRIM(E312)&lt;&gt;""),IFERROR(INDEX('設定'!$G$12:$G$31,MATCH(TRIM(E312),'設定'!$J$12:$J$31,0)),""),""))</f>
        <v/>
      </c>
      <c r="K312" s="30">
        <f>IF(AND(ISNUMBER(F312),ISNUMBER(J312)),ROUND(F312*J312,0),IF(ISNUMBER(I312),I312,""))</f>
        <v/>
      </c>
      <c r="L312" s="33" t="n"/>
      <c r="M312" s="34">
        <f>IF(COUNTA(A312:B312,D312:I312,L312)=0,"",IF(B312="","案件番号がありません",IF(ISNA(MATCH(B312,'案件'!$A$6:$A$105,0)),"案件シートに無い番号です",IF(NOT(OR(D312="材料費",D312="労務費",D312="外注費",D312="経費")),"費目を4つから選んでください",IF(K312="",IF(AND(ISNUMBER(F312),NOT(ISNUMBER(J312))),IF(D312="労務費","単価がありません（設定の作業者名と同じ書き方に）","単価がありません"),IF(AND(ISNUMBER(J312),NOT(ISNUMBER(F312))),"数量がありません","金額がありません")),IF(NOT(ISNUMBER(A312)),"日付がありません（月別集計に入りません）",IF(AND(ISNUMBER(F312),ISNUMBER(J312),ISNUMBER(I312)),"数量×単価を使いました（金額の欄は使っていません）","")))))))</f>
        <v/>
      </c>
      <c r="N312" s="91">
        <f>IF(AND(B312&lt;&gt;"",B312='案件カード'!$C$3),COUNTIF($B$5:B312,'案件カード'!$C$3),"")</f>
        <v/>
      </c>
      <c r="O312" s="91">
        <f>IF(ISNUMBER(K312),IF(B312="",K312,IF(AND(ISNUMBER(MATCH(B312,'案件'!$A$6:$A$105,0)),OR(D312="材料費",D312="労務費",D312="外注費",D312="経費")),0,K312)),0)</f>
        <v/>
      </c>
    </row>
    <row r="313" ht="16" customHeight="1">
      <c r="A313" s="35" t="n"/>
      <c r="B313" s="36" t="n"/>
      <c r="C313" s="37">
        <f>IF(B313="","",IFERROR(INDEX('案件'!$B$6:$B$105,MATCH(B313,'案件'!$A$6:$A$105,0))&amp;"","（案件シートに無い番号）"))</f>
        <v/>
      </c>
      <c r="D313" s="36" t="n"/>
      <c r="E313" s="38" t="n"/>
      <c r="F313" s="39" t="n"/>
      <c r="G313" s="36" t="n"/>
      <c r="H313" s="40" t="n"/>
      <c r="I313" s="40" t="n"/>
      <c r="J313" s="41">
        <f>IF(ISNUMBER(H313),H313,IF(AND(D313="労務費",TRIM(E313)&lt;&gt;""),IFERROR(INDEX('設定'!$G$12:$G$31,MATCH(TRIM(E313),'設定'!$J$12:$J$31,0)),""),""))</f>
        <v/>
      </c>
      <c r="K313" s="30">
        <f>IF(AND(ISNUMBER(F313),ISNUMBER(J313)),ROUND(F313*J313,0),IF(ISNUMBER(I313),I313,""))</f>
        <v/>
      </c>
      <c r="L313" s="33" t="n"/>
      <c r="M313" s="34">
        <f>IF(COUNTA(A313:B313,D313:I313,L313)=0,"",IF(B313="","案件番号がありません",IF(ISNA(MATCH(B313,'案件'!$A$6:$A$105,0)),"案件シートに無い番号です",IF(NOT(OR(D313="材料費",D313="労務費",D313="外注費",D313="経費")),"費目を4つから選んでください",IF(K313="",IF(AND(ISNUMBER(F313),NOT(ISNUMBER(J313))),IF(D313="労務費","単価がありません（設定の作業者名と同じ書き方に）","単価がありません"),IF(AND(ISNUMBER(J313),NOT(ISNUMBER(F313))),"数量がありません","金額がありません")),IF(NOT(ISNUMBER(A313)),"日付がありません（月別集計に入りません）",IF(AND(ISNUMBER(F313),ISNUMBER(J313),ISNUMBER(I313)),"数量×単価を使いました（金額の欄は使っていません）","")))))))</f>
        <v/>
      </c>
      <c r="N313" s="91">
        <f>IF(AND(B313&lt;&gt;"",B313='案件カード'!$C$3),COUNTIF($B$5:B313,'案件カード'!$C$3),"")</f>
        <v/>
      </c>
      <c r="O313" s="91">
        <f>IF(ISNUMBER(K313),IF(B313="",K313,IF(AND(ISNUMBER(MATCH(B313,'案件'!$A$6:$A$105,0)),OR(D313="材料費",D313="労務費",D313="外注費",D313="経費")),0,K313)),0)</f>
        <v/>
      </c>
    </row>
    <row r="314" ht="16" customHeight="1">
      <c r="A314" s="35" t="n"/>
      <c r="B314" s="36" t="n"/>
      <c r="C314" s="37">
        <f>IF(B314="","",IFERROR(INDEX('案件'!$B$6:$B$105,MATCH(B314,'案件'!$A$6:$A$105,0))&amp;"","（案件シートに無い番号）"))</f>
        <v/>
      </c>
      <c r="D314" s="36" t="n"/>
      <c r="E314" s="38" t="n"/>
      <c r="F314" s="39" t="n"/>
      <c r="G314" s="36" t="n"/>
      <c r="H314" s="40" t="n"/>
      <c r="I314" s="40" t="n"/>
      <c r="J314" s="41">
        <f>IF(ISNUMBER(H314),H314,IF(AND(D314="労務費",TRIM(E314)&lt;&gt;""),IFERROR(INDEX('設定'!$G$12:$G$31,MATCH(TRIM(E314),'設定'!$J$12:$J$31,0)),""),""))</f>
        <v/>
      </c>
      <c r="K314" s="30">
        <f>IF(AND(ISNUMBER(F314),ISNUMBER(J314)),ROUND(F314*J314,0),IF(ISNUMBER(I314),I314,""))</f>
        <v/>
      </c>
      <c r="L314" s="33" t="n"/>
      <c r="M314" s="34">
        <f>IF(COUNTA(A314:B314,D314:I314,L314)=0,"",IF(B314="","案件番号がありません",IF(ISNA(MATCH(B314,'案件'!$A$6:$A$105,0)),"案件シートに無い番号です",IF(NOT(OR(D314="材料費",D314="労務費",D314="外注費",D314="経費")),"費目を4つから選んでください",IF(K314="",IF(AND(ISNUMBER(F314),NOT(ISNUMBER(J314))),IF(D314="労務費","単価がありません（設定の作業者名と同じ書き方に）","単価がありません"),IF(AND(ISNUMBER(J314),NOT(ISNUMBER(F314))),"数量がありません","金額がありません")),IF(NOT(ISNUMBER(A314)),"日付がありません（月別集計に入りません）",IF(AND(ISNUMBER(F314),ISNUMBER(J314),ISNUMBER(I314)),"数量×単価を使いました（金額の欄は使っていません）","")))))))</f>
        <v/>
      </c>
      <c r="N314" s="91">
        <f>IF(AND(B314&lt;&gt;"",B314='案件カード'!$C$3),COUNTIF($B$5:B314,'案件カード'!$C$3),"")</f>
        <v/>
      </c>
      <c r="O314" s="91">
        <f>IF(ISNUMBER(K314),IF(B314="",K314,IF(AND(ISNUMBER(MATCH(B314,'案件'!$A$6:$A$105,0)),OR(D314="材料費",D314="労務費",D314="外注費",D314="経費")),0,K314)),0)</f>
        <v/>
      </c>
    </row>
    <row r="315" ht="16" customHeight="1">
      <c r="A315" s="35" t="n"/>
      <c r="B315" s="36" t="n"/>
      <c r="C315" s="37">
        <f>IF(B315="","",IFERROR(INDEX('案件'!$B$6:$B$105,MATCH(B315,'案件'!$A$6:$A$105,0))&amp;"","（案件シートに無い番号）"))</f>
        <v/>
      </c>
      <c r="D315" s="36" t="n"/>
      <c r="E315" s="38" t="n"/>
      <c r="F315" s="39" t="n"/>
      <c r="G315" s="36" t="n"/>
      <c r="H315" s="40" t="n"/>
      <c r="I315" s="40" t="n"/>
      <c r="J315" s="41">
        <f>IF(ISNUMBER(H315),H315,IF(AND(D315="労務費",TRIM(E315)&lt;&gt;""),IFERROR(INDEX('設定'!$G$12:$G$31,MATCH(TRIM(E315),'設定'!$J$12:$J$31,0)),""),""))</f>
        <v/>
      </c>
      <c r="K315" s="30">
        <f>IF(AND(ISNUMBER(F315),ISNUMBER(J315)),ROUND(F315*J315,0),IF(ISNUMBER(I315),I315,""))</f>
        <v/>
      </c>
      <c r="L315" s="33" t="n"/>
      <c r="M315" s="34">
        <f>IF(COUNTA(A315:B315,D315:I315,L315)=0,"",IF(B315="","案件番号がありません",IF(ISNA(MATCH(B315,'案件'!$A$6:$A$105,0)),"案件シートに無い番号です",IF(NOT(OR(D315="材料費",D315="労務費",D315="外注費",D315="経費")),"費目を4つから選んでください",IF(K315="",IF(AND(ISNUMBER(F315),NOT(ISNUMBER(J315))),IF(D315="労務費","単価がありません（設定の作業者名と同じ書き方に）","単価がありません"),IF(AND(ISNUMBER(J315),NOT(ISNUMBER(F315))),"数量がありません","金額がありません")),IF(NOT(ISNUMBER(A315)),"日付がありません（月別集計に入りません）",IF(AND(ISNUMBER(F315),ISNUMBER(J315),ISNUMBER(I315)),"数量×単価を使いました（金額の欄は使っていません）","")))))))</f>
        <v/>
      </c>
      <c r="N315" s="91">
        <f>IF(AND(B315&lt;&gt;"",B315='案件カード'!$C$3),COUNTIF($B$5:B315,'案件カード'!$C$3),"")</f>
        <v/>
      </c>
      <c r="O315" s="91">
        <f>IF(ISNUMBER(K315),IF(B315="",K315,IF(AND(ISNUMBER(MATCH(B315,'案件'!$A$6:$A$105,0)),OR(D315="材料費",D315="労務費",D315="外注費",D315="経費")),0,K315)),0)</f>
        <v/>
      </c>
    </row>
    <row r="316" ht="16" customHeight="1">
      <c r="A316" s="35" t="n"/>
      <c r="B316" s="36" t="n"/>
      <c r="C316" s="37">
        <f>IF(B316="","",IFERROR(INDEX('案件'!$B$6:$B$105,MATCH(B316,'案件'!$A$6:$A$105,0))&amp;"","（案件シートに無い番号）"))</f>
        <v/>
      </c>
      <c r="D316" s="36" t="n"/>
      <c r="E316" s="38" t="n"/>
      <c r="F316" s="39" t="n"/>
      <c r="G316" s="36" t="n"/>
      <c r="H316" s="40" t="n"/>
      <c r="I316" s="40" t="n"/>
      <c r="J316" s="41">
        <f>IF(ISNUMBER(H316),H316,IF(AND(D316="労務費",TRIM(E316)&lt;&gt;""),IFERROR(INDEX('設定'!$G$12:$G$31,MATCH(TRIM(E316),'設定'!$J$12:$J$31,0)),""),""))</f>
        <v/>
      </c>
      <c r="K316" s="30">
        <f>IF(AND(ISNUMBER(F316),ISNUMBER(J316)),ROUND(F316*J316,0),IF(ISNUMBER(I316),I316,""))</f>
        <v/>
      </c>
      <c r="L316" s="33" t="n"/>
      <c r="M316" s="34">
        <f>IF(COUNTA(A316:B316,D316:I316,L316)=0,"",IF(B316="","案件番号がありません",IF(ISNA(MATCH(B316,'案件'!$A$6:$A$105,0)),"案件シートに無い番号です",IF(NOT(OR(D316="材料費",D316="労務費",D316="外注費",D316="経費")),"費目を4つから選んでください",IF(K316="",IF(AND(ISNUMBER(F316),NOT(ISNUMBER(J316))),IF(D316="労務費","単価がありません（設定の作業者名と同じ書き方に）","単価がありません"),IF(AND(ISNUMBER(J316),NOT(ISNUMBER(F316))),"数量がありません","金額がありません")),IF(NOT(ISNUMBER(A316)),"日付がありません（月別集計に入りません）",IF(AND(ISNUMBER(F316),ISNUMBER(J316),ISNUMBER(I316)),"数量×単価を使いました（金額の欄は使っていません）","")))))))</f>
        <v/>
      </c>
      <c r="N316" s="91">
        <f>IF(AND(B316&lt;&gt;"",B316='案件カード'!$C$3),COUNTIF($B$5:B316,'案件カード'!$C$3),"")</f>
        <v/>
      </c>
      <c r="O316" s="91">
        <f>IF(ISNUMBER(K316),IF(B316="",K316,IF(AND(ISNUMBER(MATCH(B316,'案件'!$A$6:$A$105,0)),OR(D316="材料費",D316="労務費",D316="外注費",D316="経費")),0,K316)),0)</f>
        <v/>
      </c>
    </row>
    <row r="317" ht="16" customHeight="1">
      <c r="A317" s="35" t="n"/>
      <c r="B317" s="36" t="n"/>
      <c r="C317" s="37">
        <f>IF(B317="","",IFERROR(INDEX('案件'!$B$6:$B$105,MATCH(B317,'案件'!$A$6:$A$105,0))&amp;"","（案件シートに無い番号）"))</f>
        <v/>
      </c>
      <c r="D317" s="36" t="n"/>
      <c r="E317" s="38" t="n"/>
      <c r="F317" s="39" t="n"/>
      <c r="G317" s="36" t="n"/>
      <c r="H317" s="40" t="n"/>
      <c r="I317" s="40" t="n"/>
      <c r="J317" s="41">
        <f>IF(ISNUMBER(H317),H317,IF(AND(D317="労務費",TRIM(E317)&lt;&gt;""),IFERROR(INDEX('設定'!$G$12:$G$31,MATCH(TRIM(E317),'設定'!$J$12:$J$31,0)),""),""))</f>
        <v/>
      </c>
      <c r="K317" s="30">
        <f>IF(AND(ISNUMBER(F317),ISNUMBER(J317)),ROUND(F317*J317,0),IF(ISNUMBER(I317),I317,""))</f>
        <v/>
      </c>
      <c r="L317" s="33" t="n"/>
      <c r="M317" s="34">
        <f>IF(COUNTA(A317:B317,D317:I317,L317)=0,"",IF(B317="","案件番号がありません",IF(ISNA(MATCH(B317,'案件'!$A$6:$A$105,0)),"案件シートに無い番号です",IF(NOT(OR(D317="材料費",D317="労務費",D317="外注費",D317="経費")),"費目を4つから選んでください",IF(K317="",IF(AND(ISNUMBER(F317),NOT(ISNUMBER(J317))),IF(D317="労務費","単価がありません（設定の作業者名と同じ書き方に）","単価がありません"),IF(AND(ISNUMBER(J317),NOT(ISNUMBER(F317))),"数量がありません","金額がありません")),IF(NOT(ISNUMBER(A317)),"日付がありません（月別集計に入りません）",IF(AND(ISNUMBER(F317),ISNUMBER(J317),ISNUMBER(I317)),"数量×単価を使いました（金額の欄は使っていません）","")))))))</f>
        <v/>
      </c>
      <c r="N317" s="91">
        <f>IF(AND(B317&lt;&gt;"",B317='案件カード'!$C$3),COUNTIF($B$5:B317,'案件カード'!$C$3),"")</f>
        <v/>
      </c>
      <c r="O317" s="91">
        <f>IF(ISNUMBER(K317),IF(B317="",K317,IF(AND(ISNUMBER(MATCH(B317,'案件'!$A$6:$A$105,0)),OR(D317="材料費",D317="労務費",D317="外注費",D317="経費")),0,K317)),0)</f>
        <v/>
      </c>
    </row>
    <row r="318" ht="16" customHeight="1">
      <c r="A318" s="35" t="n"/>
      <c r="B318" s="36" t="n"/>
      <c r="C318" s="37">
        <f>IF(B318="","",IFERROR(INDEX('案件'!$B$6:$B$105,MATCH(B318,'案件'!$A$6:$A$105,0))&amp;"","（案件シートに無い番号）"))</f>
        <v/>
      </c>
      <c r="D318" s="36" t="n"/>
      <c r="E318" s="38" t="n"/>
      <c r="F318" s="39" t="n"/>
      <c r="G318" s="36" t="n"/>
      <c r="H318" s="40" t="n"/>
      <c r="I318" s="40" t="n"/>
      <c r="J318" s="41">
        <f>IF(ISNUMBER(H318),H318,IF(AND(D318="労務費",TRIM(E318)&lt;&gt;""),IFERROR(INDEX('設定'!$G$12:$G$31,MATCH(TRIM(E318),'設定'!$J$12:$J$31,0)),""),""))</f>
        <v/>
      </c>
      <c r="K318" s="30">
        <f>IF(AND(ISNUMBER(F318),ISNUMBER(J318)),ROUND(F318*J318,0),IF(ISNUMBER(I318),I318,""))</f>
        <v/>
      </c>
      <c r="L318" s="33" t="n"/>
      <c r="M318" s="34">
        <f>IF(COUNTA(A318:B318,D318:I318,L318)=0,"",IF(B318="","案件番号がありません",IF(ISNA(MATCH(B318,'案件'!$A$6:$A$105,0)),"案件シートに無い番号です",IF(NOT(OR(D318="材料費",D318="労務費",D318="外注費",D318="経費")),"費目を4つから選んでください",IF(K318="",IF(AND(ISNUMBER(F318),NOT(ISNUMBER(J318))),IF(D318="労務費","単価がありません（設定の作業者名と同じ書き方に）","単価がありません"),IF(AND(ISNUMBER(J318),NOT(ISNUMBER(F318))),"数量がありません","金額がありません")),IF(NOT(ISNUMBER(A318)),"日付がありません（月別集計に入りません）",IF(AND(ISNUMBER(F318),ISNUMBER(J318),ISNUMBER(I318)),"数量×単価を使いました（金額の欄は使っていません）","")))))))</f>
        <v/>
      </c>
      <c r="N318" s="91">
        <f>IF(AND(B318&lt;&gt;"",B318='案件カード'!$C$3),COUNTIF($B$5:B318,'案件カード'!$C$3),"")</f>
        <v/>
      </c>
      <c r="O318" s="91">
        <f>IF(ISNUMBER(K318),IF(B318="",K318,IF(AND(ISNUMBER(MATCH(B318,'案件'!$A$6:$A$105,0)),OR(D318="材料費",D318="労務費",D318="外注費",D318="経費")),0,K318)),0)</f>
        <v/>
      </c>
    </row>
    <row r="319" ht="16" customHeight="1">
      <c r="A319" s="35" t="n"/>
      <c r="B319" s="36" t="n"/>
      <c r="C319" s="37">
        <f>IF(B319="","",IFERROR(INDEX('案件'!$B$6:$B$105,MATCH(B319,'案件'!$A$6:$A$105,0))&amp;"","（案件シートに無い番号）"))</f>
        <v/>
      </c>
      <c r="D319" s="36" t="n"/>
      <c r="E319" s="38" t="n"/>
      <c r="F319" s="39" t="n"/>
      <c r="G319" s="36" t="n"/>
      <c r="H319" s="40" t="n"/>
      <c r="I319" s="40" t="n"/>
      <c r="J319" s="41">
        <f>IF(ISNUMBER(H319),H319,IF(AND(D319="労務費",TRIM(E319)&lt;&gt;""),IFERROR(INDEX('設定'!$G$12:$G$31,MATCH(TRIM(E319),'設定'!$J$12:$J$31,0)),""),""))</f>
        <v/>
      </c>
      <c r="K319" s="30">
        <f>IF(AND(ISNUMBER(F319),ISNUMBER(J319)),ROUND(F319*J319,0),IF(ISNUMBER(I319),I319,""))</f>
        <v/>
      </c>
      <c r="L319" s="33" t="n"/>
      <c r="M319" s="34">
        <f>IF(COUNTA(A319:B319,D319:I319,L319)=0,"",IF(B319="","案件番号がありません",IF(ISNA(MATCH(B319,'案件'!$A$6:$A$105,0)),"案件シートに無い番号です",IF(NOT(OR(D319="材料費",D319="労務費",D319="外注費",D319="経費")),"費目を4つから選んでください",IF(K319="",IF(AND(ISNUMBER(F319),NOT(ISNUMBER(J319))),IF(D319="労務費","単価がありません（設定の作業者名と同じ書き方に）","単価がありません"),IF(AND(ISNUMBER(J319),NOT(ISNUMBER(F319))),"数量がありません","金額がありません")),IF(NOT(ISNUMBER(A319)),"日付がありません（月別集計に入りません）",IF(AND(ISNUMBER(F319),ISNUMBER(J319),ISNUMBER(I319)),"数量×単価を使いました（金額の欄は使っていません）","")))))))</f>
        <v/>
      </c>
      <c r="N319" s="91">
        <f>IF(AND(B319&lt;&gt;"",B319='案件カード'!$C$3),COUNTIF($B$5:B319,'案件カード'!$C$3),"")</f>
        <v/>
      </c>
      <c r="O319" s="91">
        <f>IF(ISNUMBER(K319),IF(B319="",K319,IF(AND(ISNUMBER(MATCH(B319,'案件'!$A$6:$A$105,0)),OR(D319="材料費",D319="労務費",D319="外注費",D319="経費")),0,K319)),0)</f>
        <v/>
      </c>
    </row>
    <row r="320" ht="16" customHeight="1">
      <c r="A320" s="35" t="n"/>
      <c r="B320" s="36" t="n"/>
      <c r="C320" s="37">
        <f>IF(B320="","",IFERROR(INDEX('案件'!$B$6:$B$105,MATCH(B320,'案件'!$A$6:$A$105,0))&amp;"","（案件シートに無い番号）"))</f>
        <v/>
      </c>
      <c r="D320" s="36" t="n"/>
      <c r="E320" s="38" t="n"/>
      <c r="F320" s="39" t="n"/>
      <c r="G320" s="36" t="n"/>
      <c r="H320" s="40" t="n"/>
      <c r="I320" s="40" t="n"/>
      <c r="J320" s="41">
        <f>IF(ISNUMBER(H320),H320,IF(AND(D320="労務費",TRIM(E320)&lt;&gt;""),IFERROR(INDEX('設定'!$G$12:$G$31,MATCH(TRIM(E320),'設定'!$J$12:$J$31,0)),""),""))</f>
        <v/>
      </c>
      <c r="K320" s="30">
        <f>IF(AND(ISNUMBER(F320),ISNUMBER(J320)),ROUND(F320*J320,0),IF(ISNUMBER(I320),I320,""))</f>
        <v/>
      </c>
      <c r="L320" s="33" t="n"/>
      <c r="M320" s="34">
        <f>IF(COUNTA(A320:B320,D320:I320,L320)=0,"",IF(B320="","案件番号がありません",IF(ISNA(MATCH(B320,'案件'!$A$6:$A$105,0)),"案件シートに無い番号です",IF(NOT(OR(D320="材料費",D320="労務費",D320="外注費",D320="経費")),"費目を4つから選んでください",IF(K320="",IF(AND(ISNUMBER(F320),NOT(ISNUMBER(J320))),IF(D320="労務費","単価がありません（設定の作業者名と同じ書き方に）","単価がありません"),IF(AND(ISNUMBER(J320),NOT(ISNUMBER(F320))),"数量がありません","金額がありません")),IF(NOT(ISNUMBER(A320)),"日付がありません（月別集計に入りません）",IF(AND(ISNUMBER(F320),ISNUMBER(J320),ISNUMBER(I320)),"数量×単価を使いました（金額の欄は使っていません）","")))))))</f>
        <v/>
      </c>
      <c r="N320" s="91">
        <f>IF(AND(B320&lt;&gt;"",B320='案件カード'!$C$3),COUNTIF($B$5:B320,'案件カード'!$C$3),"")</f>
        <v/>
      </c>
      <c r="O320" s="91">
        <f>IF(ISNUMBER(K320),IF(B320="",K320,IF(AND(ISNUMBER(MATCH(B320,'案件'!$A$6:$A$105,0)),OR(D320="材料費",D320="労務費",D320="外注費",D320="経費")),0,K320)),0)</f>
        <v/>
      </c>
    </row>
    <row r="321" ht="16" customHeight="1">
      <c r="A321" s="35" t="n"/>
      <c r="B321" s="36" t="n"/>
      <c r="C321" s="37">
        <f>IF(B321="","",IFERROR(INDEX('案件'!$B$6:$B$105,MATCH(B321,'案件'!$A$6:$A$105,0))&amp;"","（案件シートに無い番号）"))</f>
        <v/>
      </c>
      <c r="D321" s="36" t="n"/>
      <c r="E321" s="38" t="n"/>
      <c r="F321" s="39" t="n"/>
      <c r="G321" s="36" t="n"/>
      <c r="H321" s="40" t="n"/>
      <c r="I321" s="40" t="n"/>
      <c r="J321" s="41">
        <f>IF(ISNUMBER(H321),H321,IF(AND(D321="労務費",TRIM(E321)&lt;&gt;""),IFERROR(INDEX('設定'!$G$12:$G$31,MATCH(TRIM(E321),'設定'!$J$12:$J$31,0)),""),""))</f>
        <v/>
      </c>
      <c r="K321" s="30">
        <f>IF(AND(ISNUMBER(F321),ISNUMBER(J321)),ROUND(F321*J321,0),IF(ISNUMBER(I321),I321,""))</f>
        <v/>
      </c>
      <c r="L321" s="33" t="n"/>
      <c r="M321" s="34">
        <f>IF(COUNTA(A321:B321,D321:I321,L321)=0,"",IF(B321="","案件番号がありません",IF(ISNA(MATCH(B321,'案件'!$A$6:$A$105,0)),"案件シートに無い番号です",IF(NOT(OR(D321="材料費",D321="労務費",D321="外注費",D321="経費")),"費目を4つから選んでください",IF(K321="",IF(AND(ISNUMBER(F321),NOT(ISNUMBER(J321))),IF(D321="労務費","単価がありません（設定の作業者名と同じ書き方に）","単価がありません"),IF(AND(ISNUMBER(J321),NOT(ISNUMBER(F321))),"数量がありません","金額がありません")),IF(NOT(ISNUMBER(A321)),"日付がありません（月別集計に入りません）",IF(AND(ISNUMBER(F321),ISNUMBER(J321),ISNUMBER(I321)),"数量×単価を使いました（金額の欄は使っていません）","")))))))</f>
        <v/>
      </c>
      <c r="N321" s="91">
        <f>IF(AND(B321&lt;&gt;"",B321='案件カード'!$C$3),COUNTIF($B$5:B321,'案件カード'!$C$3),"")</f>
        <v/>
      </c>
      <c r="O321" s="91">
        <f>IF(ISNUMBER(K321),IF(B321="",K321,IF(AND(ISNUMBER(MATCH(B321,'案件'!$A$6:$A$105,0)),OR(D321="材料費",D321="労務費",D321="外注費",D321="経費")),0,K321)),0)</f>
        <v/>
      </c>
    </row>
    <row r="322" ht="16" customHeight="1">
      <c r="A322" s="35" t="n"/>
      <c r="B322" s="36" t="n"/>
      <c r="C322" s="37">
        <f>IF(B322="","",IFERROR(INDEX('案件'!$B$6:$B$105,MATCH(B322,'案件'!$A$6:$A$105,0))&amp;"","（案件シートに無い番号）"))</f>
        <v/>
      </c>
      <c r="D322" s="36" t="n"/>
      <c r="E322" s="38" t="n"/>
      <c r="F322" s="39" t="n"/>
      <c r="G322" s="36" t="n"/>
      <c r="H322" s="40" t="n"/>
      <c r="I322" s="40" t="n"/>
      <c r="J322" s="41">
        <f>IF(ISNUMBER(H322),H322,IF(AND(D322="労務費",TRIM(E322)&lt;&gt;""),IFERROR(INDEX('設定'!$G$12:$G$31,MATCH(TRIM(E322),'設定'!$J$12:$J$31,0)),""),""))</f>
        <v/>
      </c>
      <c r="K322" s="30">
        <f>IF(AND(ISNUMBER(F322),ISNUMBER(J322)),ROUND(F322*J322,0),IF(ISNUMBER(I322),I322,""))</f>
        <v/>
      </c>
      <c r="L322" s="33" t="n"/>
      <c r="M322" s="34">
        <f>IF(COUNTA(A322:B322,D322:I322,L322)=0,"",IF(B322="","案件番号がありません",IF(ISNA(MATCH(B322,'案件'!$A$6:$A$105,0)),"案件シートに無い番号です",IF(NOT(OR(D322="材料費",D322="労務費",D322="外注費",D322="経費")),"費目を4つから選んでください",IF(K322="",IF(AND(ISNUMBER(F322),NOT(ISNUMBER(J322))),IF(D322="労務費","単価がありません（設定の作業者名と同じ書き方に）","単価がありません"),IF(AND(ISNUMBER(J322),NOT(ISNUMBER(F322))),"数量がありません","金額がありません")),IF(NOT(ISNUMBER(A322)),"日付がありません（月別集計に入りません）",IF(AND(ISNUMBER(F322),ISNUMBER(J322),ISNUMBER(I322)),"数量×単価を使いました（金額の欄は使っていません）","")))))))</f>
        <v/>
      </c>
      <c r="N322" s="91">
        <f>IF(AND(B322&lt;&gt;"",B322='案件カード'!$C$3),COUNTIF($B$5:B322,'案件カード'!$C$3),"")</f>
        <v/>
      </c>
      <c r="O322" s="91">
        <f>IF(ISNUMBER(K322),IF(B322="",K322,IF(AND(ISNUMBER(MATCH(B322,'案件'!$A$6:$A$105,0)),OR(D322="材料費",D322="労務費",D322="外注費",D322="経費")),0,K322)),0)</f>
        <v/>
      </c>
    </row>
    <row r="323" ht="16" customHeight="1">
      <c r="A323" s="35" t="n"/>
      <c r="B323" s="36" t="n"/>
      <c r="C323" s="37">
        <f>IF(B323="","",IFERROR(INDEX('案件'!$B$6:$B$105,MATCH(B323,'案件'!$A$6:$A$105,0))&amp;"","（案件シートに無い番号）"))</f>
        <v/>
      </c>
      <c r="D323" s="36" t="n"/>
      <c r="E323" s="38" t="n"/>
      <c r="F323" s="39" t="n"/>
      <c r="G323" s="36" t="n"/>
      <c r="H323" s="40" t="n"/>
      <c r="I323" s="40" t="n"/>
      <c r="J323" s="41">
        <f>IF(ISNUMBER(H323),H323,IF(AND(D323="労務費",TRIM(E323)&lt;&gt;""),IFERROR(INDEX('設定'!$G$12:$G$31,MATCH(TRIM(E323),'設定'!$J$12:$J$31,0)),""),""))</f>
        <v/>
      </c>
      <c r="K323" s="30">
        <f>IF(AND(ISNUMBER(F323),ISNUMBER(J323)),ROUND(F323*J323,0),IF(ISNUMBER(I323),I323,""))</f>
        <v/>
      </c>
      <c r="L323" s="33" t="n"/>
      <c r="M323" s="34">
        <f>IF(COUNTA(A323:B323,D323:I323,L323)=0,"",IF(B323="","案件番号がありません",IF(ISNA(MATCH(B323,'案件'!$A$6:$A$105,0)),"案件シートに無い番号です",IF(NOT(OR(D323="材料費",D323="労務費",D323="外注費",D323="経費")),"費目を4つから選んでください",IF(K323="",IF(AND(ISNUMBER(F323),NOT(ISNUMBER(J323))),IF(D323="労務費","単価がありません（設定の作業者名と同じ書き方に）","単価がありません"),IF(AND(ISNUMBER(J323),NOT(ISNUMBER(F323))),"数量がありません","金額がありません")),IF(NOT(ISNUMBER(A323)),"日付がありません（月別集計に入りません）",IF(AND(ISNUMBER(F323),ISNUMBER(J323),ISNUMBER(I323)),"数量×単価を使いました（金額の欄は使っていません）","")))))))</f>
        <v/>
      </c>
      <c r="N323" s="91">
        <f>IF(AND(B323&lt;&gt;"",B323='案件カード'!$C$3),COUNTIF($B$5:B323,'案件カード'!$C$3),"")</f>
        <v/>
      </c>
      <c r="O323" s="91">
        <f>IF(ISNUMBER(K323),IF(B323="",K323,IF(AND(ISNUMBER(MATCH(B323,'案件'!$A$6:$A$105,0)),OR(D323="材料費",D323="労務費",D323="外注費",D323="経費")),0,K323)),0)</f>
        <v/>
      </c>
    </row>
    <row r="324" ht="16" customHeight="1">
      <c r="A324" s="35" t="n"/>
      <c r="B324" s="36" t="n"/>
      <c r="C324" s="37">
        <f>IF(B324="","",IFERROR(INDEX('案件'!$B$6:$B$105,MATCH(B324,'案件'!$A$6:$A$105,0))&amp;"","（案件シートに無い番号）"))</f>
        <v/>
      </c>
      <c r="D324" s="36" t="n"/>
      <c r="E324" s="38" t="n"/>
      <c r="F324" s="39" t="n"/>
      <c r="G324" s="36" t="n"/>
      <c r="H324" s="40" t="n"/>
      <c r="I324" s="40" t="n"/>
      <c r="J324" s="41">
        <f>IF(ISNUMBER(H324),H324,IF(AND(D324="労務費",TRIM(E324)&lt;&gt;""),IFERROR(INDEX('設定'!$G$12:$G$31,MATCH(TRIM(E324),'設定'!$J$12:$J$31,0)),""),""))</f>
        <v/>
      </c>
      <c r="K324" s="30">
        <f>IF(AND(ISNUMBER(F324),ISNUMBER(J324)),ROUND(F324*J324,0),IF(ISNUMBER(I324),I324,""))</f>
        <v/>
      </c>
      <c r="L324" s="33" t="n"/>
      <c r="M324" s="34">
        <f>IF(COUNTA(A324:B324,D324:I324,L324)=0,"",IF(B324="","案件番号がありません",IF(ISNA(MATCH(B324,'案件'!$A$6:$A$105,0)),"案件シートに無い番号です",IF(NOT(OR(D324="材料費",D324="労務費",D324="外注費",D324="経費")),"費目を4つから選んでください",IF(K324="",IF(AND(ISNUMBER(F324),NOT(ISNUMBER(J324))),IF(D324="労務費","単価がありません（設定の作業者名と同じ書き方に）","単価がありません"),IF(AND(ISNUMBER(J324),NOT(ISNUMBER(F324))),"数量がありません","金額がありません")),IF(NOT(ISNUMBER(A324)),"日付がありません（月別集計に入りません）",IF(AND(ISNUMBER(F324),ISNUMBER(J324),ISNUMBER(I324)),"数量×単価を使いました（金額の欄は使っていません）","")))))))</f>
        <v/>
      </c>
      <c r="N324" s="91">
        <f>IF(AND(B324&lt;&gt;"",B324='案件カード'!$C$3),COUNTIF($B$5:B324,'案件カード'!$C$3),"")</f>
        <v/>
      </c>
      <c r="O324" s="91">
        <f>IF(ISNUMBER(K324),IF(B324="",K324,IF(AND(ISNUMBER(MATCH(B324,'案件'!$A$6:$A$105,0)),OR(D324="材料費",D324="労務費",D324="外注費",D324="経費")),0,K324)),0)</f>
        <v/>
      </c>
    </row>
    <row r="325" ht="16" customHeight="1">
      <c r="A325" s="35" t="n"/>
      <c r="B325" s="36" t="n"/>
      <c r="C325" s="37">
        <f>IF(B325="","",IFERROR(INDEX('案件'!$B$6:$B$105,MATCH(B325,'案件'!$A$6:$A$105,0))&amp;"","（案件シートに無い番号）"))</f>
        <v/>
      </c>
      <c r="D325" s="36" t="n"/>
      <c r="E325" s="38" t="n"/>
      <c r="F325" s="39" t="n"/>
      <c r="G325" s="36" t="n"/>
      <c r="H325" s="40" t="n"/>
      <c r="I325" s="40" t="n"/>
      <c r="J325" s="41">
        <f>IF(ISNUMBER(H325),H325,IF(AND(D325="労務費",TRIM(E325)&lt;&gt;""),IFERROR(INDEX('設定'!$G$12:$G$31,MATCH(TRIM(E325),'設定'!$J$12:$J$31,0)),""),""))</f>
        <v/>
      </c>
      <c r="K325" s="30">
        <f>IF(AND(ISNUMBER(F325),ISNUMBER(J325)),ROUND(F325*J325,0),IF(ISNUMBER(I325),I325,""))</f>
        <v/>
      </c>
      <c r="L325" s="33" t="n"/>
      <c r="M325" s="34">
        <f>IF(COUNTA(A325:B325,D325:I325,L325)=0,"",IF(B325="","案件番号がありません",IF(ISNA(MATCH(B325,'案件'!$A$6:$A$105,0)),"案件シートに無い番号です",IF(NOT(OR(D325="材料費",D325="労務費",D325="外注費",D325="経費")),"費目を4つから選んでください",IF(K325="",IF(AND(ISNUMBER(F325),NOT(ISNUMBER(J325))),IF(D325="労務費","単価がありません（設定の作業者名と同じ書き方に）","単価がありません"),IF(AND(ISNUMBER(J325),NOT(ISNUMBER(F325))),"数量がありません","金額がありません")),IF(NOT(ISNUMBER(A325)),"日付がありません（月別集計に入りません）",IF(AND(ISNUMBER(F325),ISNUMBER(J325),ISNUMBER(I325)),"数量×単価を使いました（金額の欄は使っていません）","")))))))</f>
        <v/>
      </c>
      <c r="N325" s="91">
        <f>IF(AND(B325&lt;&gt;"",B325='案件カード'!$C$3),COUNTIF($B$5:B325,'案件カード'!$C$3),"")</f>
        <v/>
      </c>
      <c r="O325" s="91">
        <f>IF(ISNUMBER(K325),IF(B325="",K325,IF(AND(ISNUMBER(MATCH(B325,'案件'!$A$6:$A$105,0)),OR(D325="材料費",D325="労務費",D325="外注費",D325="経費")),0,K325)),0)</f>
        <v/>
      </c>
    </row>
    <row r="326" ht="16" customHeight="1">
      <c r="A326" s="35" t="n"/>
      <c r="B326" s="36" t="n"/>
      <c r="C326" s="37">
        <f>IF(B326="","",IFERROR(INDEX('案件'!$B$6:$B$105,MATCH(B326,'案件'!$A$6:$A$105,0))&amp;"","（案件シートに無い番号）"))</f>
        <v/>
      </c>
      <c r="D326" s="36" t="n"/>
      <c r="E326" s="38" t="n"/>
      <c r="F326" s="39" t="n"/>
      <c r="G326" s="36" t="n"/>
      <c r="H326" s="40" t="n"/>
      <c r="I326" s="40" t="n"/>
      <c r="J326" s="41">
        <f>IF(ISNUMBER(H326),H326,IF(AND(D326="労務費",TRIM(E326)&lt;&gt;""),IFERROR(INDEX('設定'!$G$12:$G$31,MATCH(TRIM(E326),'設定'!$J$12:$J$31,0)),""),""))</f>
        <v/>
      </c>
      <c r="K326" s="30">
        <f>IF(AND(ISNUMBER(F326),ISNUMBER(J326)),ROUND(F326*J326,0),IF(ISNUMBER(I326),I326,""))</f>
        <v/>
      </c>
      <c r="L326" s="33" t="n"/>
      <c r="M326" s="34">
        <f>IF(COUNTA(A326:B326,D326:I326,L326)=0,"",IF(B326="","案件番号がありません",IF(ISNA(MATCH(B326,'案件'!$A$6:$A$105,0)),"案件シートに無い番号です",IF(NOT(OR(D326="材料費",D326="労務費",D326="外注費",D326="経費")),"費目を4つから選んでください",IF(K326="",IF(AND(ISNUMBER(F326),NOT(ISNUMBER(J326))),IF(D326="労務費","単価がありません（設定の作業者名と同じ書き方に）","単価がありません"),IF(AND(ISNUMBER(J326),NOT(ISNUMBER(F326))),"数量がありません","金額がありません")),IF(NOT(ISNUMBER(A326)),"日付がありません（月別集計に入りません）",IF(AND(ISNUMBER(F326),ISNUMBER(J326),ISNUMBER(I326)),"数量×単価を使いました（金額の欄は使っていません）","")))))))</f>
        <v/>
      </c>
      <c r="N326" s="91">
        <f>IF(AND(B326&lt;&gt;"",B326='案件カード'!$C$3),COUNTIF($B$5:B326,'案件カード'!$C$3),"")</f>
        <v/>
      </c>
      <c r="O326" s="91">
        <f>IF(ISNUMBER(K326),IF(B326="",K326,IF(AND(ISNUMBER(MATCH(B326,'案件'!$A$6:$A$105,0)),OR(D326="材料費",D326="労務費",D326="外注費",D326="経費")),0,K326)),0)</f>
        <v/>
      </c>
    </row>
    <row r="327" ht="16" customHeight="1">
      <c r="A327" s="35" t="n"/>
      <c r="B327" s="36" t="n"/>
      <c r="C327" s="37">
        <f>IF(B327="","",IFERROR(INDEX('案件'!$B$6:$B$105,MATCH(B327,'案件'!$A$6:$A$105,0))&amp;"","（案件シートに無い番号）"))</f>
        <v/>
      </c>
      <c r="D327" s="36" t="n"/>
      <c r="E327" s="38" t="n"/>
      <c r="F327" s="39" t="n"/>
      <c r="G327" s="36" t="n"/>
      <c r="H327" s="40" t="n"/>
      <c r="I327" s="40" t="n"/>
      <c r="J327" s="41">
        <f>IF(ISNUMBER(H327),H327,IF(AND(D327="労務費",TRIM(E327)&lt;&gt;""),IFERROR(INDEX('設定'!$G$12:$G$31,MATCH(TRIM(E327),'設定'!$J$12:$J$31,0)),""),""))</f>
        <v/>
      </c>
      <c r="K327" s="30">
        <f>IF(AND(ISNUMBER(F327),ISNUMBER(J327)),ROUND(F327*J327,0),IF(ISNUMBER(I327),I327,""))</f>
        <v/>
      </c>
      <c r="L327" s="33" t="n"/>
      <c r="M327" s="34">
        <f>IF(COUNTA(A327:B327,D327:I327,L327)=0,"",IF(B327="","案件番号がありません",IF(ISNA(MATCH(B327,'案件'!$A$6:$A$105,0)),"案件シートに無い番号です",IF(NOT(OR(D327="材料費",D327="労務費",D327="外注費",D327="経費")),"費目を4つから選んでください",IF(K327="",IF(AND(ISNUMBER(F327),NOT(ISNUMBER(J327))),IF(D327="労務費","単価がありません（設定の作業者名と同じ書き方に）","単価がありません"),IF(AND(ISNUMBER(J327),NOT(ISNUMBER(F327))),"数量がありません","金額がありません")),IF(NOT(ISNUMBER(A327)),"日付がありません（月別集計に入りません）",IF(AND(ISNUMBER(F327),ISNUMBER(J327),ISNUMBER(I327)),"数量×単価を使いました（金額の欄は使っていません）","")))))))</f>
        <v/>
      </c>
      <c r="N327" s="91">
        <f>IF(AND(B327&lt;&gt;"",B327='案件カード'!$C$3),COUNTIF($B$5:B327,'案件カード'!$C$3),"")</f>
        <v/>
      </c>
      <c r="O327" s="91">
        <f>IF(ISNUMBER(K327),IF(B327="",K327,IF(AND(ISNUMBER(MATCH(B327,'案件'!$A$6:$A$105,0)),OR(D327="材料費",D327="労務費",D327="外注費",D327="経費")),0,K327)),0)</f>
        <v/>
      </c>
    </row>
    <row r="328" ht="16" customHeight="1">
      <c r="A328" s="35" t="n"/>
      <c r="B328" s="36" t="n"/>
      <c r="C328" s="37">
        <f>IF(B328="","",IFERROR(INDEX('案件'!$B$6:$B$105,MATCH(B328,'案件'!$A$6:$A$105,0))&amp;"","（案件シートに無い番号）"))</f>
        <v/>
      </c>
      <c r="D328" s="36" t="n"/>
      <c r="E328" s="38" t="n"/>
      <c r="F328" s="39" t="n"/>
      <c r="G328" s="36" t="n"/>
      <c r="H328" s="40" t="n"/>
      <c r="I328" s="40" t="n"/>
      <c r="J328" s="41">
        <f>IF(ISNUMBER(H328),H328,IF(AND(D328="労務費",TRIM(E328)&lt;&gt;""),IFERROR(INDEX('設定'!$G$12:$G$31,MATCH(TRIM(E328),'設定'!$J$12:$J$31,0)),""),""))</f>
        <v/>
      </c>
      <c r="K328" s="30">
        <f>IF(AND(ISNUMBER(F328),ISNUMBER(J328)),ROUND(F328*J328,0),IF(ISNUMBER(I328),I328,""))</f>
        <v/>
      </c>
      <c r="L328" s="33" t="n"/>
      <c r="M328" s="34">
        <f>IF(COUNTA(A328:B328,D328:I328,L328)=0,"",IF(B328="","案件番号がありません",IF(ISNA(MATCH(B328,'案件'!$A$6:$A$105,0)),"案件シートに無い番号です",IF(NOT(OR(D328="材料費",D328="労務費",D328="外注費",D328="経費")),"費目を4つから選んでください",IF(K328="",IF(AND(ISNUMBER(F328),NOT(ISNUMBER(J328))),IF(D328="労務費","単価がありません（設定の作業者名と同じ書き方に）","単価がありません"),IF(AND(ISNUMBER(J328),NOT(ISNUMBER(F328))),"数量がありません","金額がありません")),IF(NOT(ISNUMBER(A328)),"日付がありません（月別集計に入りません）",IF(AND(ISNUMBER(F328),ISNUMBER(J328),ISNUMBER(I328)),"数量×単価を使いました（金額の欄は使っていません）","")))))))</f>
        <v/>
      </c>
      <c r="N328" s="91">
        <f>IF(AND(B328&lt;&gt;"",B328='案件カード'!$C$3),COUNTIF($B$5:B328,'案件カード'!$C$3),"")</f>
        <v/>
      </c>
      <c r="O328" s="91">
        <f>IF(ISNUMBER(K328),IF(B328="",K328,IF(AND(ISNUMBER(MATCH(B328,'案件'!$A$6:$A$105,0)),OR(D328="材料費",D328="労務費",D328="外注費",D328="経費")),0,K328)),0)</f>
        <v/>
      </c>
    </row>
    <row r="329" ht="16" customHeight="1">
      <c r="A329" s="35" t="n"/>
      <c r="B329" s="36" t="n"/>
      <c r="C329" s="37">
        <f>IF(B329="","",IFERROR(INDEX('案件'!$B$6:$B$105,MATCH(B329,'案件'!$A$6:$A$105,0))&amp;"","（案件シートに無い番号）"))</f>
        <v/>
      </c>
      <c r="D329" s="36" t="n"/>
      <c r="E329" s="38" t="n"/>
      <c r="F329" s="39" t="n"/>
      <c r="G329" s="36" t="n"/>
      <c r="H329" s="40" t="n"/>
      <c r="I329" s="40" t="n"/>
      <c r="J329" s="41">
        <f>IF(ISNUMBER(H329),H329,IF(AND(D329="労務費",TRIM(E329)&lt;&gt;""),IFERROR(INDEX('設定'!$G$12:$G$31,MATCH(TRIM(E329),'設定'!$J$12:$J$31,0)),""),""))</f>
        <v/>
      </c>
      <c r="K329" s="30">
        <f>IF(AND(ISNUMBER(F329),ISNUMBER(J329)),ROUND(F329*J329,0),IF(ISNUMBER(I329),I329,""))</f>
        <v/>
      </c>
      <c r="L329" s="33" t="n"/>
      <c r="M329" s="34">
        <f>IF(COUNTA(A329:B329,D329:I329,L329)=0,"",IF(B329="","案件番号がありません",IF(ISNA(MATCH(B329,'案件'!$A$6:$A$105,0)),"案件シートに無い番号です",IF(NOT(OR(D329="材料費",D329="労務費",D329="外注費",D329="経費")),"費目を4つから選んでください",IF(K329="",IF(AND(ISNUMBER(F329),NOT(ISNUMBER(J329))),IF(D329="労務費","単価がありません（設定の作業者名と同じ書き方に）","単価がありません"),IF(AND(ISNUMBER(J329),NOT(ISNUMBER(F329))),"数量がありません","金額がありません")),IF(NOT(ISNUMBER(A329)),"日付がありません（月別集計に入りません）",IF(AND(ISNUMBER(F329),ISNUMBER(J329),ISNUMBER(I329)),"数量×単価を使いました（金額の欄は使っていません）","")))))))</f>
        <v/>
      </c>
      <c r="N329" s="91">
        <f>IF(AND(B329&lt;&gt;"",B329='案件カード'!$C$3),COUNTIF($B$5:B329,'案件カード'!$C$3),"")</f>
        <v/>
      </c>
      <c r="O329" s="91">
        <f>IF(ISNUMBER(K329),IF(B329="",K329,IF(AND(ISNUMBER(MATCH(B329,'案件'!$A$6:$A$105,0)),OR(D329="材料費",D329="労務費",D329="外注費",D329="経費")),0,K329)),0)</f>
        <v/>
      </c>
    </row>
    <row r="330" ht="16" customHeight="1">
      <c r="A330" s="35" t="n"/>
      <c r="B330" s="36" t="n"/>
      <c r="C330" s="37">
        <f>IF(B330="","",IFERROR(INDEX('案件'!$B$6:$B$105,MATCH(B330,'案件'!$A$6:$A$105,0))&amp;"","（案件シートに無い番号）"))</f>
        <v/>
      </c>
      <c r="D330" s="36" t="n"/>
      <c r="E330" s="38" t="n"/>
      <c r="F330" s="39" t="n"/>
      <c r="G330" s="36" t="n"/>
      <c r="H330" s="40" t="n"/>
      <c r="I330" s="40" t="n"/>
      <c r="J330" s="41">
        <f>IF(ISNUMBER(H330),H330,IF(AND(D330="労務費",TRIM(E330)&lt;&gt;""),IFERROR(INDEX('設定'!$G$12:$G$31,MATCH(TRIM(E330),'設定'!$J$12:$J$31,0)),""),""))</f>
        <v/>
      </c>
      <c r="K330" s="30">
        <f>IF(AND(ISNUMBER(F330),ISNUMBER(J330)),ROUND(F330*J330,0),IF(ISNUMBER(I330),I330,""))</f>
        <v/>
      </c>
      <c r="L330" s="33" t="n"/>
      <c r="M330" s="34">
        <f>IF(COUNTA(A330:B330,D330:I330,L330)=0,"",IF(B330="","案件番号がありません",IF(ISNA(MATCH(B330,'案件'!$A$6:$A$105,0)),"案件シートに無い番号です",IF(NOT(OR(D330="材料費",D330="労務費",D330="外注費",D330="経費")),"費目を4つから選んでください",IF(K330="",IF(AND(ISNUMBER(F330),NOT(ISNUMBER(J330))),IF(D330="労務費","単価がありません（設定の作業者名と同じ書き方に）","単価がありません"),IF(AND(ISNUMBER(J330),NOT(ISNUMBER(F330))),"数量がありません","金額がありません")),IF(NOT(ISNUMBER(A330)),"日付がありません（月別集計に入りません）",IF(AND(ISNUMBER(F330),ISNUMBER(J330),ISNUMBER(I330)),"数量×単価を使いました（金額の欄は使っていません）","")))))))</f>
        <v/>
      </c>
      <c r="N330" s="91">
        <f>IF(AND(B330&lt;&gt;"",B330='案件カード'!$C$3),COUNTIF($B$5:B330,'案件カード'!$C$3),"")</f>
        <v/>
      </c>
      <c r="O330" s="91">
        <f>IF(ISNUMBER(K330),IF(B330="",K330,IF(AND(ISNUMBER(MATCH(B330,'案件'!$A$6:$A$105,0)),OR(D330="材料費",D330="労務費",D330="外注費",D330="経費")),0,K330)),0)</f>
        <v/>
      </c>
    </row>
    <row r="331" ht="16" customHeight="1">
      <c r="A331" s="35" t="n"/>
      <c r="B331" s="36" t="n"/>
      <c r="C331" s="37">
        <f>IF(B331="","",IFERROR(INDEX('案件'!$B$6:$B$105,MATCH(B331,'案件'!$A$6:$A$105,0))&amp;"","（案件シートに無い番号）"))</f>
        <v/>
      </c>
      <c r="D331" s="36" t="n"/>
      <c r="E331" s="38" t="n"/>
      <c r="F331" s="39" t="n"/>
      <c r="G331" s="36" t="n"/>
      <c r="H331" s="40" t="n"/>
      <c r="I331" s="40" t="n"/>
      <c r="J331" s="41">
        <f>IF(ISNUMBER(H331),H331,IF(AND(D331="労務費",TRIM(E331)&lt;&gt;""),IFERROR(INDEX('設定'!$G$12:$G$31,MATCH(TRIM(E331),'設定'!$J$12:$J$31,0)),""),""))</f>
        <v/>
      </c>
      <c r="K331" s="30">
        <f>IF(AND(ISNUMBER(F331),ISNUMBER(J331)),ROUND(F331*J331,0),IF(ISNUMBER(I331),I331,""))</f>
        <v/>
      </c>
      <c r="L331" s="33" t="n"/>
      <c r="M331" s="34">
        <f>IF(COUNTA(A331:B331,D331:I331,L331)=0,"",IF(B331="","案件番号がありません",IF(ISNA(MATCH(B331,'案件'!$A$6:$A$105,0)),"案件シートに無い番号です",IF(NOT(OR(D331="材料費",D331="労務費",D331="外注費",D331="経費")),"費目を4つから選んでください",IF(K331="",IF(AND(ISNUMBER(F331),NOT(ISNUMBER(J331))),IF(D331="労務費","単価がありません（設定の作業者名と同じ書き方に）","単価がありません"),IF(AND(ISNUMBER(J331),NOT(ISNUMBER(F331))),"数量がありません","金額がありません")),IF(NOT(ISNUMBER(A331)),"日付がありません（月別集計に入りません）",IF(AND(ISNUMBER(F331),ISNUMBER(J331),ISNUMBER(I331)),"数量×単価を使いました（金額の欄は使っていません）","")))))))</f>
        <v/>
      </c>
      <c r="N331" s="91">
        <f>IF(AND(B331&lt;&gt;"",B331='案件カード'!$C$3),COUNTIF($B$5:B331,'案件カード'!$C$3),"")</f>
        <v/>
      </c>
      <c r="O331" s="91">
        <f>IF(ISNUMBER(K331),IF(B331="",K331,IF(AND(ISNUMBER(MATCH(B331,'案件'!$A$6:$A$105,0)),OR(D331="材料費",D331="労務費",D331="外注費",D331="経費")),0,K331)),0)</f>
        <v/>
      </c>
    </row>
    <row r="332" ht="16" customHeight="1">
      <c r="A332" s="35" t="n"/>
      <c r="B332" s="36" t="n"/>
      <c r="C332" s="37">
        <f>IF(B332="","",IFERROR(INDEX('案件'!$B$6:$B$105,MATCH(B332,'案件'!$A$6:$A$105,0))&amp;"","（案件シートに無い番号）"))</f>
        <v/>
      </c>
      <c r="D332" s="36" t="n"/>
      <c r="E332" s="38" t="n"/>
      <c r="F332" s="39" t="n"/>
      <c r="G332" s="36" t="n"/>
      <c r="H332" s="40" t="n"/>
      <c r="I332" s="40" t="n"/>
      <c r="J332" s="41">
        <f>IF(ISNUMBER(H332),H332,IF(AND(D332="労務費",TRIM(E332)&lt;&gt;""),IFERROR(INDEX('設定'!$G$12:$G$31,MATCH(TRIM(E332),'設定'!$J$12:$J$31,0)),""),""))</f>
        <v/>
      </c>
      <c r="K332" s="30">
        <f>IF(AND(ISNUMBER(F332),ISNUMBER(J332)),ROUND(F332*J332,0),IF(ISNUMBER(I332),I332,""))</f>
        <v/>
      </c>
      <c r="L332" s="33" t="n"/>
      <c r="M332" s="34">
        <f>IF(COUNTA(A332:B332,D332:I332,L332)=0,"",IF(B332="","案件番号がありません",IF(ISNA(MATCH(B332,'案件'!$A$6:$A$105,0)),"案件シートに無い番号です",IF(NOT(OR(D332="材料費",D332="労務費",D332="外注費",D332="経費")),"費目を4つから選んでください",IF(K332="",IF(AND(ISNUMBER(F332),NOT(ISNUMBER(J332))),IF(D332="労務費","単価がありません（設定の作業者名と同じ書き方に）","単価がありません"),IF(AND(ISNUMBER(J332),NOT(ISNUMBER(F332))),"数量がありません","金額がありません")),IF(NOT(ISNUMBER(A332)),"日付がありません（月別集計に入りません）",IF(AND(ISNUMBER(F332),ISNUMBER(J332),ISNUMBER(I332)),"数量×単価を使いました（金額の欄は使っていません）","")))))))</f>
        <v/>
      </c>
      <c r="N332" s="91">
        <f>IF(AND(B332&lt;&gt;"",B332='案件カード'!$C$3),COUNTIF($B$5:B332,'案件カード'!$C$3),"")</f>
        <v/>
      </c>
      <c r="O332" s="91">
        <f>IF(ISNUMBER(K332),IF(B332="",K332,IF(AND(ISNUMBER(MATCH(B332,'案件'!$A$6:$A$105,0)),OR(D332="材料費",D332="労務費",D332="外注費",D332="経費")),0,K332)),0)</f>
        <v/>
      </c>
    </row>
    <row r="333" ht="16" customHeight="1">
      <c r="A333" s="35" t="n"/>
      <c r="B333" s="36" t="n"/>
      <c r="C333" s="37">
        <f>IF(B333="","",IFERROR(INDEX('案件'!$B$6:$B$105,MATCH(B333,'案件'!$A$6:$A$105,0))&amp;"","（案件シートに無い番号）"))</f>
        <v/>
      </c>
      <c r="D333" s="36" t="n"/>
      <c r="E333" s="38" t="n"/>
      <c r="F333" s="39" t="n"/>
      <c r="G333" s="36" t="n"/>
      <c r="H333" s="40" t="n"/>
      <c r="I333" s="40" t="n"/>
      <c r="J333" s="41">
        <f>IF(ISNUMBER(H333),H333,IF(AND(D333="労務費",TRIM(E333)&lt;&gt;""),IFERROR(INDEX('設定'!$G$12:$G$31,MATCH(TRIM(E333),'設定'!$J$12:$J$31,0)),""),""))</f>
        <v/>
      </c>
      <c r="K333" s="30">
        <f>IF(AND(ISNUMBER(F333),ISNUMBER(J333)),ROUND(F333*J333,0),IF(ISNUMBER(I333),I333,""))</f>
        <v/>
      </c>
      <c r="L333" s="33" t="n"/>
      <c r="M333" s="34">
        <f>IF(COUNTA(A333:B333,D333:I333,L333)=0,"",IF(B333="","案件番号がありません",IF(ISNA(MATCH(B333,'案件'!$A$6:$A$105,0)),"案件シートに無い番号です",IF(NOT(OR(D333="材料費",D333="労務費",D333="外注費",D333="経費")),"費目を4つから選んでください",IF(K333="",IF(AND(ISNUMBER(F333),NOT(ISNUMBER(J333))),IF(D333="労務費","単価がありません（設定の作業者名と同じ書き方に）","単価がありません"),IF(AND(ISNUMBER(J333),NOT(ISNUMBER(F333))),"数量がありません","金額がありません")),IF(NOT(ISNUMBER(A333)),"日付がありません（月別集計に入りません）",IF(AND(ISNUMBER(F333),ISNUMBER(J333),ISNUMBER(I333)),"数量×単価を使いました（金額の欄は使っていません）","")))))))</f>
        <v/>
      </c>
      <c r="N333" s="91">
        <f>IF(AND(B333&lt;&gt;"",B333='案件カード'!$C$3),COUNTIF($B$5:B333,'案件カード'!$C$3),"")</f>
        <v/>
      </c>
      <c r="O333" s="91">
        <f>IF(ISNUMBER(K333),IF(B333="",K333,IF(AND(ISNUMBER(MATCH(B333,'案件'!$A$6:$A$105,0)),OR(D333="材料費",D333="労務費",D333="外注費",D333="経費")),0,K333)),0)</f>
        <v/>
      </c>
    </row>
    <row r="334" ht="16" customHeight="1">
      <c r="A334" s="35" t="n"/>
      <c r="B334" s="36" t="n"/>
      <c r="C334" s="37">
        <f>IF(B334="","",IFERROR(INDEX('案件'!$B$6:$B$105,MATCH(B334,'案件'!$A$6:$A$105,0))&amp;"","（案件シートに無い番号）"))</f>
        <v/>
      </c>
      <c r="D334" s="36" t="n"/>
      <c r="E334" s="38" t="n"/>
      <c r="F334" s="39" t="n"/>
      <c r="G334" s="36" t="n"/>
      <c r="H334" s="40" t="n"/>
      <c r="I334" s="40" t="n"/>
      <c r="J334" s="41">
        <f>IF(ISNUMBER(H334),H334,IF(AND(D334="労務費",TRIM(E334)&lt;&gt;""),IFERROR(INDEX('設定'!$G$12:$G$31,MATCH(TRIM(E334),'設定'!$J$12:$J$31,0)),""),""))</f>
        <v/>
      </c>
      <c r="K334" s="30">
        <f>IF(AND(ISNUMBER(F334),ISNUMBER(J334)),ROUND(F334*J334,0),IF(ISNUMBER(I334),I334,""))</f>
        <v/>
      </c>
      <c r="L334" s="33" t="n"/>
      <c r="M334" s="34">
        <f>IF(COUNTA(A334:B334,D334:I334,L334)=0,"",IF(B334="","案件番号がありません",IF(ISNA(MATCH(B334,'案件'!$A$6:$A$105,0)),"案件シートに無い番号です",IF(NOT(OR(D334="材料費",D334="労務費",D334="外注費",D334="経費")),"費目を4つから選んでください",IF(K334="",IF(AND(ISNUMBER(F334),NOT(ISNUMBER(J334))),IF(D334="労務費","単価がありません（設定の作業者名と同じ書き方に）","単価がありません"),IF(AND(ISNUMBER(J334),NOT(ISNUMBER(F334))),"数量がありません","金額がありません")),IF(NOT(ISNUMBER(A334)),"日付がありません（月別集計に入りません）",IF(AND(ISNUMBER(F334),ISNUMBER(J334),ISNUMBER(I334)),"数量×単価を使いました（金額の欄は使っていません）","")))))))</f>
        <v/>
      </c>
      <c r="N334" s="91">
        <f>IF(AND(B334&lt;&gt;"",B334='案件カード'!$C$3),COUNTIF($B$5:B334,'案件カード'!$C$3),"")</f>
        <v/>
      </c>
      <c r="O334" s="91">
        <f>IF(ISNUMBER(K334),IF(B334="",K334,IF(AND(ISNUMBER(MATCH(B334,'案件'!$A$6:$A$105,0)),OR(D334="材料費",D334="労務費",D334="外注費",D334="経費")),0,K334)),0)</f>
        <v/>
      </c>
    </row>
    <row r="335" ht="16" customHeight="1">
      <c r="A335" s="35" t="n"/>
      <c r="B335" s="36" t="n"/>
      <c r="C335" s="37">
        <f>IF(B335="","",IFERROR(INDEX('案件'!$B$6:$B$105,MATCH(B335,'案件'!$A$6:$A$105,0))&amp;"","（案件シートに無い番号）"))</f>
        <v/>
      </c>
      <c r="D335" s="36" t="n"/>
      <c r="E335" s="38" t="n"/>
      <c r="F335" s="39" t="n"/>
      <c r="G335" s="36" t="n"/>
      <c r="H335" s="40" t="n"/>
      <c r="I335" s="40" t="n"/>
      <c r="J335" s="41">
        <f>IF(ISNUMBER(H335),H335,IF(AND(D335="労務費",TRIM(E335)&lt;&gt;""),IFERROR(INDEX('設定'!$G$12:$G$31,MATCH(TRIM(E335),'設定'!$J$12:$J$31,0)),""),""))</f>
        <v/>
      </c>
      <c r="K335" s="30">
        <f>IF(AND(ISNUMBER(F335),ISNUMBER(J335)),ROUND(F335*J335,0),IF(ISNUMBER(I335),I335,""))</f>
        <v/>
      </c>
      <c r="L335" s="33" t="n"/>
      <c r="M335" s="34">
        <f>IF(COUNTA(A335:B335,D335:I335,L335)=0,"",IF(B335="","案件番号がありません",IF(ISNA(MATCH(B335,'案件'!$A$6:$A$105,0)),"案件シートに無い番号です",IF(NOT(OR(D335="材料費",D335="労務費",D335="外注費",D335="経費")),"費目を4つから選んでください",IF(K335="",IF(AND(ISNUMBER(F335),NOT(ISNUMBER(J335))),IF(D335="労務費","単価がありません（設定の作業者名と同じ書き方に）","単価がありません"),IF(AND(ISNUMBER(J335),NOT(ISNUMBER(F335))),"数量がありません","金額がありません")),IF(NOT(ISNUMBER(A335)),"日付がありません（月別集計に入りません）",IF(AND(ISNUMBER(F335),ISNUMBER(J335),ISNUMBER(I335)),"数量×単価を使いました（金額の欄は使っていません）","")))))))</f>
        <v/>
      </c>
      <c r="N335" s="91">
        <f>IF(AND(B335&lt;&gt;"",B335='案件カード'!$C$3),COUNTIF($B$5:B335,'案件カード'!$C$3),"")</f>
        <v/>
      </c>
      <c r="O335" s="91">
        <f>IF(ISNUMBER(K335),IF(B335="",K335,IF(AND(ISNUMBER(MATCH(B335,'案件'!$A$6:$A$105,0)),OR(D335="材料費",D335="労務費",D335="外注費",D335="経費")),0,K335)),0)</f>
        <v/>
      </c>
    </row>
    <row r="336" ht="16" customHeight="1">
      <c r="A336" s="35" t="n"/>
      <c r="B336" s="36" t="n"/>
      <c r="C336" s="37">
        <f>IF(B336="","",IFERROR(INDEX('案件'!$B$6:$B$105,MATCH(B336,'案件'!$A$6:$A$105,0))&amp;"","（案件シートに無い番号）"))</f>
        <v/>
      </c>
      <c r="D336" s="36" t="n"/>
      <c r="E336" s="38" t="n"/>
      <c r="F336" s="39" t="n"/>
      <c r="G336" s="36" t="n"/>
      <c r="H336" s="40" t="n"/>
      <c r="I336" s="40" t="n"/>
      <c r="J336" s="41">
        <f>IF(ISNUMBER(H336),H336,IF(AND(D336="労務費",TRIM(E336)&lt;&gt;""),IFERROR(INDEX('設定'!$G$12:$G$31,MATCH(TRIM(E336),'設定'!$J$12:$J$31,0)),""),""))</f>
        <v/>
      </c>
      <c r="K336" s="30">
        <f>IF(AND(ISNUMBER(F336),ISNUMBER(J336)),ROUND(F336*J336,0),IF(ISNUMBER(I336),I336,""))</f>
        <v/>
      </c>
      <c r="L336" s="33" t="n"/>
      <c r="M336" s="34">
        <f>IF(COUNTA(A336:B336,D336:I336,L336)=0,"",IF(B336="","案件番号がありません",IF(ISNA(MATCH(B336,'案件'!$A$6:$A$105,0)),"案件シートに無い番号です",IF(NOT(OR(D336="材料費",D336="労務費",D336="外注費",D336="経費")),"費目を4つから選んでください",IF(K336="",IF(AND(ISNUMBER(F336),NOT(ISNUMBER(J336))),IF(D336="労務費","単価がありません（設定の作業者名と同じ書き方に）","単価がありません"),IF(AND(ISNUMBER(J336),NOT(ISNUMBER(F336))),"数量がありません","金額がありません")),IF(NOT(ISNUMBER(A336)),"日付がありません（月別集計に入りません）",IF(AND(ISNUMBER(F336),ISNUMBER(J336),ISNUMBER(I336)),"数量×単価を使いました（金額の欄は使っていません）","")))))))</f>
        <v/>
      </c>
      <c r="N336" s="91">
        <f>IF(AND(B336&lt;&gt;"",B336='案件カード'!$C$3),COUNTIF($B$5:B336,'案件カード'!$C$3),"")</f>
        <v/>
      </c>
      <c r="O336" s="91">
        <f>IF(ISNUMBER(K336),IF(B336="",K336,IF(AND(ISNUMBER(MATCH(B336,'案件'!$A$6:$A$105,0)),OR(D336="材料費",D336="労務費",D336="外注費",D336="経費")),0,K336)),0)</f>
        <v/>
      </c>
    </row>
    <row r="337" ht="16" customHeight="1">
      <c r="A337" s="35" t="n"/>
      <c r="B337" s="36" t="n"/>
      <c r="C337" s="37">
        <f>IF(B337="","",IFERROR(INDEX('案件'!$B$6:$B$105,MATCH(B337,'案件'!$A$6:$A$105,0))&amp;"","（案件シートに無い番号）"))</f>
        <v/>
      </c>
      <c r="D337" s="36" t="n"/>
      <c r="E337" s="38" t="n"/>
      <c r="F337" s="39" t="n"/>
      <c r="G337" s="36" t="n"/>
      <c r="H337" s="40" t="n"/>
      <c r="I337" s="40" t="n"/>
      <c r="J337" s="41">
        <f>IF(ISNUMBER(H337),H337,IF(AND(D337="労務費",TRIM(E337)&lt;&gt;""),IFERROR(INDEX('設定'!$G$12:$G$31,MATCH(TRIM(E337),'設定'!$J$12:$J$31,0)),""),""))</f>
        <v/>
      </c>
      <c r="K337" s="30">
        <f>IF(AND(ISNUMBER(F337),ISNUMBER(J337)),ROUND(F337*J337,0),IF(ISNUMBER(I337),I337,""))</f>
        <v/>
      </c>
      <c r="L337" s="33" t="n"/>
      <c r="M337" s="34">
        <f>IF(COUNTA(A337:B337,D337:I337,L337)=0,"",IF(B337="","案件番号がありません",IF(ISNA(MATCH(B337,'案件'!$A$6:$A$105,0)),"案件シートに無い番号です",IF(NOT(OR(D337="材料費",D337="労務費",D337="外注費",D337="経費")),"費目を4つから選んでください",IF(K337="",IF(AND(ISNUMBER(F337),NOT(ISNUMBER(J337))),IF(D337="労務費","単価がありません（設定の作業者名と同じ書き方に）","単価がありません"),IF(AND(ISNUMBER(J337),NOT(ISNUMBER(F337))),"数量がありません","金額がありません")),IF(NOT(ISNUMBER(A337)),"日付がありません（月別集計に入りません）",IF(AND(ISNUMBER(F337),ISNUMBER(J337),ISNUMBER(I337)),"数量×単価を使いました（金額の欄は使っていません）","")))))))</f>
        <v/>
      </c>
      <c r="N337" s="91">
        <f>IF(AND(B337&lt;&gt;"",B337='案件カード'!$C$3),COUNTIF($B$5:B337,'案件カード'!$C$3),"")</f>
        <v/>
      </c>
      <c r="O337" s="91">
        <f>IF(ISNUMBER(K337),IF(B337="",K337,IF(AND(ISNUMBER(MATCH(B337,'案件'!$A$6:$A$105,0)),OR(D337="材料費",D337="労務費",D337="外注費",D337="経費")),0,K337)),0)</f>
        <v/>
      </c>
    </row>
    <row r="338" ht="16" customHeight="1">
      <c r="A338" s="35" t="n"/>
      <c r="B338" s="36" t="n"/>
      <c r="C338" s="37">
        <f>IF(B338="","",IFERROR(INDEX('案件'!$B$6:$B$105,MATCH(B338,'案件'!$A$6:$A$105,0))&amp;"","（案件シートに無い番号）"))</f>
        <v/>
      </c>
      <c r="D338" s="36" t="n"/>
      <c r="E338" s="38" t="n"/>
      <c r="F338" s="39" t="n"/>
      <c r="G338" s="36" t="n"/>
      <c r="H338" s="40" t="n"/>
      <c r="I338" s="40" t="n"/>
      <c r="J338" s="41">
        <f>IF(ISNUMBER(H338),H338,IF(AND(D338="労務費",TRIM(E338)&lt;&gt;""),IFERROR(INDEX('設定'!$G$12:$G$31,MATCH(TRIM(E338),'設定'!$J$12:$J$31,0)),""),""))</f>
        <v/>
      </c>
      <c r="K338" s="30">
        <f>IF(AND(ISNUMBER(F338),ISNUMBER(J338)),ROUND(F338*J338,0),IF(ISNUMBER(I338),I338,""))</f>
        <v/>
      </c>
      <c r="L338" s="33" t="n"/>
      <c r="M338" s="34">
        <f>IF(COUNTA(A338:B338,D338:I338,L338)=0,"",IF(B338="","案件番号がありません",IF(ISNA(MATCH(B338,'案件'!$A$6:$A$105,0)),"案件シートに無い番号です",IF(NOT(OR(D338="材料費",D338="労務費",D338="外注費",D338="経費")),"費目を4つから選んでください",IF(K338="",IF(AND(ISNUMBER(F338),NOT(ISNUMBER(J338))),IF(D338="労務費","単価がありません（設定の作業者名と同じ書き方に）","単価がありません"),IF(AND(ISNUMBER(J338),NOT(ISNUMBER(F338))),"数量がありません","金額がありません")),IF(NOT(ISNUMBER(A338)),"日付がありません（月別集計に入りません）",IF(AND(ISNUMBER(F338),ISNUMBER(J338),ISNUMBER(I338)),"数量×単価を使いました（金額の欄は使っていません）","")))))))</f>
        <v/>
      </c>
      <c r="N338" s="91">
        <f>IF(AND(B338&lt;&gt;"",B338='案件カード'!$C$3),COUNTIF($B$5:B338,'案件カード'!$C$3),"")</f>
        <v/>
      </c>
      <c r="O338" s="91">
        <f>IF(ISNUMBER(K338),IF(B338="",K338,IF(AND(ISNUMBER(MATCH(B338,'案件'!$A$6:$A$105,0)),OR(D338="材料費",D338="労務費",D338="外注費",D338="経費")),0,K338)),0)</f>
        <v/>
      </c>
    </row>
    <row r="339" ht="16" customHeight="1">
      <c r="A339" s="35" t="n"/>
      <c r="B339" s="36" t="n"/>
      <c r="C339" s="37">
        <f>IF(B339="","",IFERROR(INDEX('案件'!$B$6:$B$105,MATCH(B339,'案件'!$A$6:$A$105,0))&amp;"","（案件シートに無い番号）"))</f>
        <v/>
      </c>
      <c r="D339" s="36" t="n"/>
      <c r="E339" s="38" t="n"/>
      <c r="F339" s="39" t="n"/>
      <c r="G339" s="36" t="n"/>
      <c r="H339" s="40" t="n"/>
      <c r="I339" s="40" t="n"/>
      <c r="J339" s="41">
        <f>IF(ISNUMBER(H339),H339,IF(AND(D339="労務費",TRIM(E339)&lt;&gt;""),IFERROR(INDEX('設定'!$G$12:$G$31,MATCH(TRIM(E339),'設定'!$J$12:$J$31,0)),""),""))</f>
        <v/>
      </c>
      <c r="K339" s="30">
        <f>IF(AND(ISNUMBER(F339),ISNUMBER(J339)),ROUND(F339*J339,0),IF(ISNUMBER(I339),I339,""))</f>
        <v/>
      </c>
      <c r="L339" s="33" t="n"/>
      <c r="M339" s="34">
        <f>IF(COUNTA(A339:B339,D339:I339,L339)=0,"",IF(B339="","案件番号がありません",IF(ISNA(MATCH(B339,'案件'!$A$6:$A$105,0)),"案件シートに無い番号です",IF(NOT(OR(D339="材料費",D339="労務費",D339="外注費",D339="経費")),"費目を4つから選んでください",IF(K339="",IF(AND(ISNUMBER(F339),NOT(ISNUMBER(J339))),IF(D339="労務費","単価がありません（設定の作業者名と同じ書き方に）","単価がありません"),IF(AND(ISNUMBER(J339),NOT(ISNUMBER(F339))),"数量がありません","金額がありません")),IF(NOT(ISNUMBER(A339)),"日付がありません（月別集計に入りません）",IF(AND(ISNUMBER(F339),ISNUMBER(J339),ISNUMBER(I339)),"数量×単価を使いました（金額の欄は使っていません）","")))))))</f>
        <v/>
      </c>
      <c r="N339" s="91">
        <f>IF(AND(B339&lt;&gt;"",B339='案件カード'!$C$3),COUNTIF($B$5:B339,'案件カード'!$C$3),"")</f>
        <v/>
      </c>
      <c r="O339" s="91">
        <f>IF(ISNUMBER(K339),IF(B339="",K339,IF(AND(ISNUMBER(MATCH(B339,'案件'!$A$6:$A$105,0)),OR(D339="材料費",D339="労務費",D339="外注費",D339="経費")),0,K339)),0)</f>
        <v/>
      </c>
    </row>
    <row r="340" ht="16" customHeight="1">
      <c r="A340" s="35" t="n"/>
      <c r="B340" s="36" t="n"/>
      <c r="C340" s="37">
        <f>IF(B340="","",IFERROR(INDEX('案件'!$B$6:$B$105,MATCH(B340,'案件'!$A$6:$A$105,0))&amp;"","（案件シートに無い番号）"))</f>
        <v/>
      </c>
      <c r="D340" s="36" t="n"/>
      <c r="E340" s="38" t="n"/>
      <c r="F340" s="39" t="n"/>
      <c r="G340" s="36" t="n"/>
      <c r="H340" s="40" t="n"/>
      <c r="I340" s="40" t="n"/>
      <c r="J340" s="41">
        <f>IF(ISNUMBER(H340),H340,IF(AND(D340="労務費",TRIM(E340)&lt;&gt;""),IFERROR(INDEX('設定'!$G$12:$G$31,MATCH(TRIM(E340),'設定'!$J$12:$J$31,0)),""),""))</f>
        <v/>
      </c>
      <c r="K340" s="30">
        <f>IF(AND(ISNUMBER(F340),ISNUMBER(J340)),ROUND(F340*J340,0),IF(ISNUMBER(I340),I340,""))</f>
        <v/>
      </c>
      <c r="L340" s="33" t="n"/>
      <c r="M340" s="34">
        <f>IF(COUNTA(A340:B340,D340:I340,L340)=0,"",IF(B340="","案件番号がありません",IF(ISNA(MATCH(B340,'案件'!$A$6:$A$105,0)),"案件シートに無い番号です",IF(NOT(OR(D340="材料費",D340="労務費",D340="外注費",D340="経費")),"費目を4つから選んでください",IF(K340="",IF(AND(ISNUMBER(F340),NOT(ISNUMBER(J340))),IF(D340="労務費","単価がありません（設定の作業者名と同じ書き方に）","単価がありません"),IF(AND(ISNUMBER(J340),NOT(ISNUMBER(F340))),"数量がありません","金額がありません")),IF(NOT(ISNUMBER(A340)),"日付がありません（月別集計に入りません）",IF(AND(ISNUMBER(F340),ISNUMBER(J340),ISNUMBER(I340)),"数量×単価を使いました（金額の欄は使っていません）","")))))))</f>
        <v/>
      </c>
      <c r="N340" s="91">
        <f>IF(AND(B340&lt;&gt;"",B340='案件カード'!$C$3),COUNTIF($B$5:B340,'案件カード'!$C$3),"")</f>
        <v/>
      </c>
      <c r="O340" s="91">
        <f>IF(ISNUMBER(K340),IF(B340="",K340,IF(AND(ISNUMBER(MATCH(B340,'案件'!$A$6:$A$105,0)),OR(D340="材料費",D340="労務費",D340="外注費",D340="経費")),0,K340)),0)</f>
        <v/>
      </c>
    </row>
    <row r="341" ht="16" customHeight="1">
      <c r="A341" s="35" t="n"/>
      <c r="B341" s="36" t="n"/>
      <c r="C341" s="37">
        <f>IF(B341="","",IFERROR(INDEX('案件'!$B$6:$B$105,MATCH(B341,'案件'!$A$6:$A$105,0))&amp;"","（案件シートに無い番号）"))</f>
        <v/>
      </c>
      <c r="D341" s="36" t="n"/>
      <c r="E341" s="38" t="n"/>
      <c r="F341" s="39" t="n"/>
      <c r="G341" s="36" t="n"/>
      <c r="H341" s="40" t="n"/>
      <c r="I341" s="40" t="n"/>
      <c r="J341" s="41">
        <f>IF(ISNUMBER(H341),H341,IF(AND(D341="労務費",TRIM(E341)&lt;&gt;""),IFERROR(INDEX('設定'!$G$12:$G$31,MATCH(TRIM(E341),'設定'!$J$12:$J$31,0)),""),""))</f>
        <v/>
      </c>
      <c r="K341" s="30">
        <f>IF(AND(ISNUMBER(F341),ISNUMBER(J341)),ROUND(F341*J341,0),IF(ISNUMBER(I341),I341,""))</f>
        <v/>
      </c>
      <c r="L341" s="33" t="n"/>
      <c r="M341" s="34">
        <f>IF(COUNTA(A341:B341,D341:I341,L341)=0,"",IF(B341="","案件番号がありません",IF(ISNA(MATCH(B341,'案件'!$A$6:$A$105,0)),"案件シートに無い番号です",IF(NOT(OR(D341="材料費",D341="労務費",D341="外注費",D341="経費")),"費目を4つから選んでください",IF(K341="",IF(AND(ISNUMBER(F341),NOT(ISNUMBER(J341))),IF(D341="労務費","単価がありません（設定の作業者名と同じ書き方に）","単価がありません"),IF(AND(ISNUMBER(J341),NOT(ISNUMBER(F341))),"数量がありません","金額がありません")),IF(NOT(ISNUMBER(A341)),"日付がありません（月別集計に入りません）",IF(AND(ISNUMBER(F341),ISNUMBER(J341),ISNUMBER(I341)),"数量×単価を使いました（金額の欄は使っていません）","")))))))</f>
        <v/>
      </c>
      <c r="N341" s="91">
        <f>IF(AND(B341&lt;&gt;"",B341='案件カード'!$C$3),COUNTIF($B$5:B341,'案件カード'!$C$3),"")</f>
        <v/>
      </c>
      <c r="O341" s="91">
        <f>IF(ISNUMBER(K341),IF(B341="",K341,IF(AND(ISNUMBER(MATCH(B341,'案件'!$A$6:$A$105,0)),OR(D341="材料費",D341="労務費",D341="外注費",D341="経費")),0,K341)),0)</f>
        <v/>
      </c>
    </row>
    <row r="342" ht="16" customHeight="1">
      <c r="A342" s="35" t="n"/>
      <c r="B342" s="36" t="n"/>
      <c r="C342" s="37">
        <f>IF(B342="","",IFERROR(INDEX('案件'!$B$6:$B$105,MATCH(B342,'案件'!$A$6:$A$105,0))&amp;"","（案件シートに無い番号）"))</f>
        <v/>
      </c>
      <c r="D342" s="36" t="n"/>
      <c r="E342" s="38" t="n"/>
      <c r="F342" s="39" t="n"/>
      <c r="G342" s="36" t="n"/>
      <c r="H342" s="40" t="n"/>
      <c r="I342" s="40" t="n"/>
      <c r="J342" s="41">
        <f>IF(ISNUMBER(H342),H342,IF(AND(D342="労務費",TRIM(E342)&lt;&gt;""),IFERROR(INDEX('設定'!$G$12:$G$31,MATCH(TRIM(E342),'設定'!$J$12:$J$31,0)),""),""))</f>
        <v/>
      </c>
      <c r="K342" s="30">
        <f>IF(AND(ISNUMBER(F342),ISNUMBER(J342)),ROUND(F342*J342,0),IF(ISNUMBER(I342),I342,""))</f>
        <v/>
      </c>
      <c r="L342" s="33" t="n"/>
      <c r="M342" s="34">
        <f>IF(COUNTA(A342:B342,D342:I342,L342)=0,"",IF(B342="","案件番号がありません",IF(ISNA(MATCH(B342,'案件'!$A$6:$A$105,0)),"案件シートに無い番号です",IF(NOT(OR(D342="材料費",D342="労務費",D342="外注費",D342="経費")),"費目を4つから選んでください",IF(K342="",IF(AND(ISNUMBER(F342),NOT(ISNUMBER(J342))),IF(D342="労務費","単価がありません（設定の作業者名と同じ書き方に）","単価がありません"),IF(AND(ISNUMBER(J342),NOT(ISNUMBER(F342))),"数量がありません","金額がありません")),IF(NOT(ISNUMBER(A342)),"日付がありません（月別集計に入りません）",IF(AND(ISNUMBER(F342),ISNUMBER(J342),ISNUMBER(I342)),"数量×単価を使いました（金額の欄は使っていません）","")))))))</f>
        <v/>
      </c>
      <c r="N342" s="91">
        <f>IF(AND(B342&lt;&gt;"",B342='案件カード'!$C$3),COUNTIF($B$5:B342,'案件カード'!$C$3),"")</f>
        <v/>
      </c>
      <c r="O342" s="91">
        <f>IF(ISNUMBER(K342),IF(B342="",K342,IF(AND(ISNUMBER(MATCH(B342,'案件'!$A$6:$A$105,0)),OR(D342="材料費",D342="労務費",D342="外注費",D342="経費")),0,K342)),0)</f>
        <v/>
      </c>
    </row>
    <row r="343" ht="16" customHeight="1">
      <c r="A343" s="35" t="n"/>
      <c r="B343" s="36" t="n"/>
      <c r="C343" s="37">
        <f>IF(B343="","",IFERROR(INDEX('案件'!$B$6:$B$105,MATCH(B343,'案件'!$A$6:$A$105,0))&amp;"","（案件シートに無い番号）"))</f>
        <v/>
      </c>
      <c r="D343" s="36" t="n"/>
      <c r="E343" s="38" t="n"/>
      <c r="F343" s="39" t="n"/>
      <c r="G343" s="36" t="n"/>
      <c r="H343" s="40" t="n"/>
      <c r="I343" s="40" t="n"/>
      <c r="J343" s="41">
        <f>IF(ISNUMBER(H343),H343,IF(AND(D343="労務費",TRIM(E343)&lt;&gt;""),IFERROR(INDEX('設定'!$G$12:$G$31,MATCH(TRIM(E343),'設定'!$J$12:$J$31,0)),""),""))</f>
        <v/>
      </c>
      <c r="K343" s="30">
        <f>IF(AND(ISNUMBER(F343),ISNUMBER(J343)),ROUND(F343*J343,0),IF(ISNUMBER(I343),I343,""))</f>
        <v/>
      </c>
      <c r="L343" s="33" t="n"/>
      <c r="M343" s="34">
        <f>IF(COUNTA(A343:B343,D343:I343,L343)=0,"",IF(B343="","案件番号がありません",IF(ISNA(MATCH(B343,'案件'!$A$6:$A$105,0)),"案件シートに無い番号です",IF(NOT(OR(D343="材料費",D343="労務費",D343="外注費",D343="経費")),"費目を4つから選んでください",IF(K343="",IF(AND(ISNUMBER(F343),NOT(ISNUMBER(J343))),IF(D343="労務費","単価がありません（設定の作業者名と同じ書き方に）","単価がありません"),IF(AND(ISNUMBER(J343),NOT(ISNUMBER(F343))),"数量がありません","金額がありません")),IF(NOT(ISNUMBER(A343)),"日付がありません（月別集計に入りません）",IF(AND(ISNUMBER(F343),ISNUMBER(J343),ISNUMBER(I343)),"数量×単価を使いました（金額の欄は使っていません）","")))))))</f>
        <v/>
      </c>
      <c r="N343" s="91">
        <f>IF(AND(B343&lt;&gt;"",B343='案件カード'!$C$3),COUNTIF($B$5:B343,'案件カード'!$C$3),"")</f>
        <v/>
      </c>
      <c r="O343" s="91">
        <f>IF(ISNUMBER(K343),IF(B343="",K343,IF(AND(ISNUMBER(MATCH(B343,'案件'!$A$6:$A$105,0)),OR(D343="材料費",D343="労務費",D343="外注費",D343="経費")),0,K343)),0)</f>
        <v/>
      </c>
    </row>
    <row r="344" ht="16" customHeight="1">
      <c r="A344" s="35" t="n"/>
      <c r="B344" s="36" t="n"/>
      <c r="C344" s="37">
        <f>IF(B344="","",IFERROR(INDEX('案件'!$B$6:$B$105,MATCH(B344,'案件'!$A$6:$A$105,0))&amp;"","（案件シートに無い番号）"))</f>
        <v/>
      </c>
      <c r="D344" s="36" t="n"/>
      <c r="E344" s="38" t="n"/>
      <c r="F344" s="39" t="n"/>
      <c r="G344" s="36" t="n"/>
      <c r="H344" s="40" t="n"/>
      <c r="I344" s="40" t="n"/>
      <c r="J344" s="41">
        <f>IF(ISNUMBER(H344),H344,IF(AND(D344="労務費",TRIM(E344)&lt;&gt;""),IFERROR(INDEX('設定'!$G$12:$G$31,MATCH(TRIM(E344),'設定'!$J$12:$J$31,0)),""),""))</f>
        <v/>
      </c>
      <c r="K344" s="30">
        <f>IF(AND(ISNUMBER(F344),ISNUMBER(J344)),ROUND(F344*J344,0),IF(ISNUMBER(I344),I344,""))</f>
        <v/>
      </c>
      <c r="L344" s="33" t="n"/>
      <c r="M344" s="34">
        <f>IF(COUNTA(A344:B344,D344:I344,L344)=0,"",IF(B344="","案件番号がありません",IF(ISNA(MATCH(B344,'案件'!$A$6:$A$105,0)),"案件シートに無い番号です",IF(NOT(OR(D344="材料費",D344="労務費",D344="外注費",D344="経費")),"費目を4つから選んでください",IF(K344="",IF(AND(ISNUMBER(F344),NOT(ISNUMBER(J344))),IF(D344="労務費","単価がありません（設定の作業者名と同じ書き方に）","単価がありません"),IF(AND(ISNUMBER(J344),NOT(ISNUMBER(F344))),"数量がありません","金額がありません")),IF(NOT(ISNUMBER(A344)),"日付がありません（月別集計に入りません）",IF(AND(ISNUMBER(F344),ISNUMBER(J344),ISNUMBER(I344)),"数量×単価を使いました（金額の欄は使っていません）","")))))))</f>
        <v/>
      </c>
      <c r="N344" s="91">
        <f>IF(AND(B344&lt;&gt;"",B344='案件カード'!$C$3),COUNTIF($B$5:B344,'案件カード'!$C$3),"")</f>
        <v/>
      </c>
      <c r="O344" s="91">
        <f>IF(ISNUMBER(K344),IF(B344="",K344,IF(AND(ISNUMBER(MATCH(B344,'案件'!$A$6:$A$105,0)),OR(D344="材料費",D344="労務費",D344="外注費",D344="経費")),0,K344)),0)</f>
        <v/>
      </c>
    </row>
    <row r="345" ht="16" customHeight="1">
      <c r="A345" s="35" t="n"/>
      <c r="B345" s="36" t="n"/>
      <c r="C345" s="37">
        <f>IF(B345="","",IFERROR(INDEX('案件'!$B$6:$B$105,MATCH(B345,'案件'!$A$6:$A$105,0))&amp;"","（案件シートに無い番号）"))</f>
        <v/>
      </c>
      <c r="D345" s="36" t="n"/>
      <c r="E345" s="38" t="n"/>
      <c r="F345" s="39" t="n"/>
      <c r="G345" s="36" t="n"/>
      <c r="H345" s="40" t="n"/>
      <c r="I345" s="40" t="n"/>
      <c r="J345" s="41">
        <f>IF(ISNUMBER(H345),H345,IF(AND(D345="労務費",TRIM(E345)&lt;&gt;""),IFERROR(INDEX('設定'!$G$12:$G$31,MATCH(TRIM(E345),'設定'!$J$12:$J$31,0)),""),""))</f>
        <v/>
      </c>
      <c r="K345" s="30">
        <f>IF(AND(ISNUMBER(F345),ISNUMBER(J345)),ROUND(F345*J345,0),IF(ISNUMBER(I345),I345,""))</f>
        <v/>
      </c>
      <c r="L345" s="33" t="n"/>
      <c r="M345" s="34">
        <f>IF(COUNTA(A345:B345,D345:I345,L345)=0,"",IF(B345="","案件番号がありません",IF(ISNA(MATCH(B345,'案件'!$A$6:$A$105,0)),"案件シートに無い番号です",IF(NOT(OR(D345="材料費",D345="労務費",D345="外注費",D345="経費")),"費目を4つから選んでください",IF(K345="",IF(AND(ISNUMBER(F345),NOT(ISNUMBER(J345))),IF(D345="労務費","単価がありません（設定の作業者名と同じ書き方に）","単価がありません"),IF(AND(ISNUMBER(J345),NOT(ISNUMBER(F345))),"数量がありません","金額がありません")),IF(NOT(ISNUMBER(A345)),"日付がありません（月別集計に入りません）",IF(AND(ISNUMBER(F345),ISNUMBER(J345),ISNUMBER(I345)),"数量×単価を使いました（金額の欄は使っていません）","")))))))</f>
        <v/>
      </c>
      <c r="N345" s="91">
        <f>IF(AND(B345&lt;&gt;"",B345='案件カード'!$C$3),COUNTIF($B$5:B345,'案件カード'!$C$3),"")</f>
        <v/>
      </c>
      <c r="O345" s="91">
        <f>IF(ISNUMBER(K345),IF(B345="",K345,IF(AND(ISNUMBER(MATCH(B345,'案件'!$A$6:$A$105,0)),OR(D345="材料費",D345="労務費",D345="外注費",D345="経費")),0,K345)),0)</f>
        <v/>
      </c>
    </row>
    <row r="346" ht="16" customHeight="1">
      <c r="A346" s="35" t="n"/>
      <c r="B346" s="36" t="n"/>
      <c r="C346" s="37">
        <f>IF(B346="","",IFERROR(INDEX('案件'!$B$6:$B$105,MATCH(B346,'案件'!$A$6:$A$105,0))&amp;"","（案件シートに無い番号）"))</f>
        <v/>
      </c>
      <c r="D346" s="36" t="n"/>
      <c r="E346" s="38" t="n"/>
      <c r="F346" s="39" t="n"/>
      <c r="G346" s="36" t="n"/>
      <c r="H346" s="40" t="n"/>
      <c r="I346" s="40" t="n"/>
      <c r="J346" s="41">
        <f>IF(ISNUMBER(H346),H346,IF(AND(D346="労務費",TRIM(E346)&lt;&gt;""),IFERROR(INDEX('設定'!$G$12:$G$31,MATCH(TRIM(E346),'設定'!$J$12:$J$31,0)),""),""))</f>
        <v/>
      </c>
      <c r="K346" s="30">
        <f>IF(AND(ISNUMBER(F346),ISNUMBER(J346)),ROUND(F346*J346,0),IF(ISNUMBER(I346),I346,""))</f>
        <v/>
      </c>
      <c r="L346" s="33" t="n"/>
      <c r="M346" s="34">
        <f>IF(COUNTA(A346:B346,D346:I346,L346)=0,"",IF(B346="","案件番号がありません",IF(ISNA(MATCH(B346,'案件'!$A$6:$A$105,0)),"案件シートに無い番号です",IF(NOT(OR(D346="材料費",D346="労務費",D346="外注費",D346="経費")),"費目を4つから選んでください",IF(K346="",IF(AND(ISNUMBER(F346),NOT(ISNUMBER(J346))),IF(D346="労務費","単価がありません（設定の作業者名と同じ書き方に）","単価がありません"),IF(AND(ISNUMBER(J346),NOT(ISNUMBER(F346))),"数量がありません","金額がありません")),IF(NOT(ISNUMBER(A346)),"日付がありません（月別集計に入りません）",IF(AND(ISNUMBER(F346),ISNUMBER(J346),ISNUMBER(I346)),"数量×単価を使いました（金額の欄は使っていません）","")))))))</f>
        <v/>
      </c>
      <c r="N346" s="91">
        <f>IF(AND(B346&lt;&gt;"",B346='案件カード'!$C$3),COUNTIF($B$5:B346,'案件カード'!$C$3),"")</f>
        <v/>
      </c>
      <c r="O346" s="91">
        <f>IF(ISNUMBER(K346),IF(B346="",K346,IF(AND(ISNUMBER(MATCH(B346,'案件'!$A$6:$A$105,0)),OR(D346="材料費",D346="労務費",D346="外注費",D346="経費")),0,K346)),0)</f>
        <v/>
      </c>
    </row>
    <row r="347" ht="16" customHeight="1">
      <c r="A347" s="35" t="n"/>
      <c r="B347" s="36" t="n"/>
      <c r="C347" s="37">
        <f>IF(B347="","",IFERROR(INDEX('案件'!$B$6:$B$105,MATCH(B347,'案件'!$A$6:$A$105,0))&amp;"","（案件シートに無い番号）"))</f>
        <v/>
      </c>
      <c r="D347" s="36" t="n"/>
      <c r="E347" s="38" t="n"/>
      <c r="F347" s="39" t="n"/>
      <c r="G347" s="36" t="n"/>
      <c r="H347" s="40" t="n"/>
      <c r="I347" s="40" t="n"/>
      <c r="J347" s="41">
        <f>IF(ISNUMBER(H347),H347,IF(AND(D347="労務費",TRIM(E347)&lt;&gt;""),IFERROR(INDEX('設定'!$G$12:$G$31,MATCH(TRIM(E347),'設定'!$J$12:$J$31,0)),""),""))</f>
        <v/>
      </c>
      <c r="K347" s="30">
        <f>IF(AND(ISNUMBER(F347),ISNUMBER(J347)),ROUND(F347*J347,0),IF(ISNUMBER(I347),I347,""))</f>
        <v/>
      </c>
      <c r="L347" s="33" t="n"/>
      <c r="M347" s="34">
        <f>IF(COUNTA(A347:B347,D347:I347,L347)=0,"",IF(B347="","案件番号がありません",IF(ISNA(MATCH(B347,'案件'!$A$6:$A$105,0)),"案件シートに無い番号です",IF(NOT(OR(D347="材料費",D347="労務費",D347="外注費",D347="経費")),"費目を4つから選んでください",IF(K347="",IF(AND(ISNUMBER(F347),NOT(ISNUMBER(J347))),IF(D347="労務費","単価がありません（設定の作業者名と同じ書き方に）","単価がありません"),IF(AND(ISNUMBER(J347),NOT(ISNUMBER(F347))),"数量がありません","金額がありません")),IF(NOT(ISNUMBER(A347)),"日付がありません（月別集計に入りません）",IF(AND(ISNUMBER(F347),ISNUMBER(J347),ISNUMBER(I347)),"数量×単価を使いました（金額の欄は使っていません）","")))))))</f>
        <v/>
      </c>
      <c r="N347" s="91">
        <f>IF(AND(B347&lt;&gt;"",B347='案件カード'!$C$3),COUNTIF($B$5:B347,'案件カード'!$C$3),"")</f>
        <v/>
      </c>
      <c r="O347" s="91">
        <f>IF(ISNUMBER(K347),IF(B347="",K347,IF(AND(ISNUMBER(MATCH(B347,'案件'!$A$6:$A$105,0)),OR(D347="材料費",D347="労務費",D347="外注費",D347="経費")),0,K347)),0)</f>
        <v/>
      </c>
    </row>
    <row r="348" ht="16" customHeight="1">
      <c r="A348" s="35" t="n"/>
      <c r="B348" s="36" t="n"/>
      <c r="C348" s="37">
        <f>IF(B348="","",IFERROR(INDEX('案件'!$B$6:$B$105,MATCH(B348,'案件'!$A$6:$A$105,0))&amp;"","（案件シートに無い番号）"))</f>
        <v/>
      </c>
      <c r="D348" s="36" t="n"/>
      <c r="E348" s="38" t="n"/>
      <c r="F348" s="39" t="n"/>
      <c r="G348" s="36" t="n"/>
      <c r="H348" s="40" t="n"/>
      <c r="I348" s="40" t="n"/>
      <c r="J348" s="41">
        <f>IF(ISNUMBER(H348),H348,IF(AND(D348="労務費",TRIM(E348)&lt;&gt;""),IFERROR(INDEX('設定'!$G$12:$G$31,MATCH(TRIM(E348),'設定'!$J$12:$J$31,0)),""),""))</f>
        <v/>
      </c>
      <c r="K348" s="30">
        <f>IF(AND(ISNUMBER(F348),ISNUMBER(J348)),ROUND(F348*J348,0),IF(ISNUMBER(I348),I348,""))</f>
        <v/>
      </c>
      <c r="L348" s="33" t="n"/>
      <c r="M348" s="34">
        <f>IF(COUNTA(A348:B348,D348:I348,L348)=0,"",IF(B348="","案件番号がありません",IF(ISNA(MATCH(B348,'案件'!$A$6:$A$105,0)),"案件シートに無い番号です",IF(NOT(OR(D348="材料費",D348="労務費",D348="外注費",D348="経費")),"費目を4つから選んでください",IF(K348="",IF(AND(ISNUMBER(F348),NOT(ISNUMBER(J348))),IF(D348="労務費","単価がありません（設定の作業者名と同じ書き方に）","単価がありません"),IF(AND(ISNUMBER(J348),NOT(ISNUMBER(F348))),"数量がありません","金額がありません")),IF(NOT(ISNUMBER(A348)),"日付がありません（月別集計に入りません）",IF(AND(ISNUMBER(F348),ISNUMBER(J348),ISNUMBER(I348)),"数量×単価を使いました（金額の欄は使っていません）","")))))))</f>
        <v/>
      </c>
      <c r="N348" s="91">
        <f>IF(AND(B348&lt;&gt;"",B348='案件カード'!$C$3),COUNTIF($B$5:B348,'案件カード'!$C$3),"")</f>
        <v/>
      </c>
      <c r="O348" s="91">
        <f>IF(ISNUMBER(K348),IF(B348="",K348,IF(AND(ISNUMBER(MATCH(B348,'案件'!$A$6:$A$105,0)),OR(D348="材料費",D348="労務費",D348="外注費",D348="経費")),0,K348)),0)</f>
        <v/>
      </c>
    </row>
    <row r="349" ht="16" customHeight="1">
      <c r="A349" s="35" t="n"/>
      <c r="B349" s="36" t="n"/>
      <c r="C349" s="37">
        <f>IF(B349="","",IFERROR(INDEX('案件'!$B$6:$B$105,MATCH(B349,'案件'!$A$6:$A$105,0))&amp;"","（案件シートに無い番号）"))</f>
        <v/>
      </c>
      <c r="D349" s="36" t="n"/>
      <c r="E349" s="38" t="n"/>
      <c r="F349" s="39" t="n"/>
      <c r="G349" s="36" t="n"/>
      <c r="H349" s="40" t="n"/>
      <c r="I349" s="40" t="n"/>
      <c r="J349" s="41">
        <f>IF(ISNUMBER(H349),H349,IF(AND(D349="労務費",TRIM(E349)&lt;&gt;""),IFERROR(INDEX('設定'!$G$12:$G$31,MATCH(TRIM(E349),'設定'!$J$12:$J$31,0)),""),""))</f>
        <v/>
      </c>
      <c r="K349" s="30">
        <f>IF(AND(ISNUMBER(F349),ISNUMBER(J349)),ROUND(F349*J349,0),IF(ISNUMBER(I349),I349,""))</f>
        <v/>
      </c>
      <c r="L349" s="33" t="n"/>
      <c r="M349" s="34">
        <f>IF(COUNTA(A349:B349,D349:I349,L349)=0,"",IF(B349="","案件番号がありません",IF(ISNA(MATCH(B349,'案件'!$A$6:$A$105,0)),"案件シートに無い番号です",IF(NOT(OR(D349="材料費",D349="労務費",D349="外注費",D349="経費")),"費目を4つから選んでください",IF(K349="",IF(AND(ISNUMBER(F349),NOT(ISNUMBER(J349))),IF(D349="労務費","単価がありません（設定の作業者名と同じ書き方に）","単価がありません"),IF(AND(ISNUMBER(J349),NOT(ISNUMBER(F349))),"数量がありません","金額がありません")),IF(NOT(ISNUMBER(A349)),"日付がありません（月別集計に入りません）",IF(AND(ISNUMBER(F349),ISNUMBER(J349),ISNUMBER(I349)),"数量×単価を使いました（金額の欄は使っていません）","")))))))</f>
        <v/>
      </c>
      <c r="N349" s="91">
        <f>IF(AND(B349&lt;&gt;"",B349='案件カード'!$C$3),COUNTIF($B$5:B349,'案件カード'!$C$3),"")</f>
        <v/>
      </c>
      <c r="O349" s="91">
        <f>IF(ISNUMBER(K349),IF(B349="",K349,IF(AND(ISNUMBER(MATCH(B349,'案件'!$A$6:$A$105,0)),OR(D349="材料費",D349="労務費",D349="外注費",D349="経費")),0,K349)),0)</f>
        <v/>
      </c>
    </row>
    <row r="350" ht="16" customHeight="1">
      <c r="A350" s="35" t="n"/>
      <c r="B350" s="36" t="n"/>
      <c r="C350" s="37">
        <f>IF(B350="","",IFERROR(INDEX('案件'!$B$6:$B$105,MATCH(B350,'案件'!$A$6:$A$105,0))&amp;"","（案件シートに無い番号）"))</f>
        <v/>
      </c>
      <c r="D350" s="36" t="n"/>
      <c r="E350" s="38" t="n"/>
      <c r="F350" s="39" t="n"/>
      <c r="G350" s="36" t="n"/>
      <c r="H350" s="40" t="n"/>
      <c r="I350" s="40" t="n"/>
      <c r="J350" s="41">
        <f>IF(ISNUMBER(H350),H350,IF(AND(D350="労務費",TRIM(E350)&lt;&gt;""),IFERROR(INDEX('設定'!$G$12:$G$31,MATCH(TRIM(E350),'設定'!$J$12:$J$31,0)),""),""))</f>
        <v/>
      </c>
      <c r="K350" s="30">
        <f>IF(AND(ISNUMBER(F350),ISNUMBER(J350)),ROUND(F350*J350,0),IF(ISNUMBER(I350),I350,""))</f>
        <v/>
      </c>
      <c r="L350" s="33" t="n"/>
      <c r="M350" s="34">
        <f>IF(COUNTA(A350:B350,D350:I350,L350)=0,"",IF(B350="","案件番号がありません",IF(ISNA(MATCH(B350,'案件'!$A$6:$A$105,0)),"案件シートに無い番号です",IF(NOT(OR(D350="材料費",D350="労務費",D350="外注費",D350="経費")),"費目を4つから選んでください",IF(K350="",IF(AND(ISNUMBER(F350),NOT(ISNUMBER(J350))),IF(D350="労務費","単価がありません（設定の作業者名と同じ書き方に）","単価がありません"),IF(AND(ISNUMBER(J350),NOT(ISNUMBER(F350))),"数量がありません","金額がありません")),IF(NOT(ISNUMBER(A350)),"日付がありません（月別集計に入りません）",IF(AND(ISNUMBER(F350),ISNUMBER(J350),ISNUMBER(I350)),"数量×単価を使いました（金額の欄は使っていません）","")))))))</f>
        <v/>
      </c>
      <c r="N350" s="91">
        <f>IF(AND(B350&lt;&gt;"",B350='案件カード'!$C$3),COUNTIF($B$5:B350,'案件カード'!$C$3),"")</f>
        <v/>
      </c>
      <c r="O350" s="91">
        <f>IF(ISNUMBER(K350),IF(B350="",K350,IF(AND(ISNUMBER(MATCH(B350,'案件'!$A$6:$A$105,0)),OR(D350="材料費",D350="労務費",D350="外注費",D350="経費")),0,K350)),0)</f>
        <v/>
      </c>
    </row>
    <row r="351" ht="16" customHeight="1">
      <c r="A351" s="35" t="n"/>
      <c r="B351" s="36" t="n"/>
      <c r="C351" s="37">
        <f>IF(B351="","",IFERROR(INDEX('案件'!$B$6:$B$105,MATCH(B351,'案件'!$A$6:$A$105,0))&amp;"","（案件シートに無い番号）"))</f>
        <v/>
      </c>
      <c r="D351" s="36" t="n"/>
      <c r="E351" s="38" t="n"/>
      <c r="F351" s="39" t="n"/>
      <c r="G351" s="36" t="n"/>
      <c r="H351" s="40" t="n"/>
      <c r="I351" s="40" t="n"/>
      <c r="J351" s="41">
        <f>IF(ISNUMBER(H351),H351,IF(AND(D351="労務費",TRIM(E351)&lt;&gt;""),IFERROR(INDEX('設定'!$G$12:$G$31,MATCH(TRIM(E351),'設定'!$J$12:$J$31,0)),""),""))</f>
        <v/>
      </c>
      <c r="K351" s="30">
        <f>IF(AND(ISNUMBER(F351),ISNUMBER(J351)),ROUND(F351*J351,0),IF(ISNUMBER(I351),I351,""))</f>
        <v/>
      </c>
      <c r="L351" s="33" t="n"/>
      <c r="M351" s="34">
        <f>IF(COUNTA(A351:B351,D351:I351,L351)=0,"",IF(B351="","案件番号がありません",IF(ISNA(MATCH(B351,'案件'!$A$6:$A$105,0)),"案件シートに無い番号です",IF(NOT(OR(D351="材料費",D351="労務費",D351="外注費",D351="経費")),"費目を4つから選んでください",IF(K351="",IF(AND(ISNUMBER(F351),NOT(ISNUMBER(J351))),IF(D351="労務費","単価がありません（設定の作業者名と同じ書き方に）","単価がありません"),IF(AND(ISNUMBER(J351),NOT(ISNUMBER(F351))),"数量がありません","金額がありません")),IF(NOT(ISNUMBER(A351)),"日付がありません（月別集計に入りません）",IF(AND(ISNUMBER(F351),ISNUMBER(J351),ISNUMBER(I351)),"数量×単価を使いました（金額の欄は使っていません）","")))))))</f>
        <v/>
      </c>
      <c r="N351" s="91">
        <f>IF(AND(B351&lt;&gt;"",B351='案件カード'!$C$3),COUNTIF($B$5:B351,'案件カード'!$C$3),"")</f>
        <v/>
      </c>
      <c r="O351" s="91">
        <f>IF(ISNUMBER(K351),IF(B351="",K351,IF(AND(ISNUMBER(MATCH(B351,'案件'!$A$6:$A$105,0)),OR(D351="材料費",D351="労務費",D351="外注費",D351="経費")),0,K351)),0)</f>
        <v/>
      </c>
    </row>
    <row r="352" ht="16" customHeight="1">
      <c r="A352" s="35" t="n"/>
      <c r="B352" s="36" t="n"/>
      <c r="C352" s="37">
        <f>IF(B352="","",IFERROR(INDEX('案件'!$B$6:$B$105,MATCH(B352,'案件'!$A$6:$A$105,0))&amp;"","（案件シートに無い番号）"))</f>
        <v/>
      </c>
      <c r="D352" s="36" t="n"/>
      <c r="E352" s="38" t="n"/>
      <c r="F352" s="39" t="n"/>
      <c r="G352" s="36" t="n"/>
      <c r="H352" s="40" t="n"/>
      <c r="I352" s="40" t="n"/>
      <c r="J352" s="41">
        <f>IF(ISNUMBER(H352),H352,IF(AND(D352="労務費",TRIM(E352)&lt;&gt;""),IFERROR(INDEX('設定'!$G$12:$G$31,MATCH(TRIM(E352),'設定'!$J$12:$J$31,0)),""),""))</f>
        <v/>
      </c>
      <c r="K352" s="30">
        <f>IF(AND(ISNUMBER(F352),ISNUMBER(J352)),ROUND(F352*J352,0),IF(ISNUMBER(I352),I352,""))</f>
        <v/>
      </c>
      <c r="L352" s="33" t="n"/>
      <c r="M352" s="34">
        <f>IF(COUNTA(A352:B352,D352:I352,L352)=0,"",IF(B352="","案件番号がありません",IF(ISNA(MATCH(B352,'案件'!$A$6:$A$105,0)),"案件シートに無い番号です",IF(NOT(OR(D352="材料費",D352="労務費",D352="外注費",D352="経費")),"費目を4つから選んでください",IF(K352="",IF(AND(ISNUMBER(F352),NOT(ISNUMBER(J352))),IF(D352="労務費","単価がありません（設定の作業者名と同じ書き方に）","単価がありません"),IF(AND(ISNUMBER(J352),NOT(ISNUMBER(F352))),"数量がありません","金額がありません")),IF(NOT(ISNUMBER(A352)),"日付がありません（月別集計に入りません）",IF(AND(ISNUMBER(F352),ISNUMBER(J352),ISNUMBER(I352)),"数量×単価を使いました（金額の欄は使っていません）","")))))))</f>
        <v/>
      </c>
      <c r="N352" s="91">
        <f>IF(AND(B352&lt;&gt;"",B352='案件カード'!$C$3),COUNTIF($B$5:B352,'案件カード'!$C$3),"")</f>
        <v/>
      </c>
      <c r="O352" s="91">
        <f>IF(ISNUMBER(K352),IF(B352="",K352,IF(AND(ISNUMBER(MATCH(B352,'案件'!$A$6:$A$105,0)),OR(D352="材料費",D352="労務費",D352="外注費",D352="経費")),0,K352)),0)</f>
        <v/>
      </c>
    </row>
    <row r="353" ht="16" customHeight="1">
      <c r="A353" s="35" t="n"/>
      <c r="B353" s="36" t="n"/>
      <c r="C353" s="37">
        <f>IF(B353="","",IFERROR(INDEX('案件'!$B$6:$B$105,MATCH(B353,'案件'!$A$6:$A$105,0))&amp;"","（案件シートに無い番号）"))</f>
        <v/>
      </c>
      <c r="D353" s="36" t="n"/>
      <c r="E353" s="38" t="n"/>
      <c r="F353" s="39" t="n"/>
      <c r="G353" s="36" t="n"/>
      <c r="H353" s="40" t="n"/>
      <c r="I353" s="40" t="n"/>
      <c r="J353" s="41">
        <f>IF(ISNUMBER(H353),H353,IF(AND(D353="労務費",TRIM(E353)&lt;&gt;""),IFERROR(INDEX('設定'!$G$12:$G$31,MATCH(TRIM(E353),'設定'!$J$12:$J$31,0)),""),""))</f>
        <v/>
      </c>
      <c r="K353" s="30">
        <f>IF(AND(ISNUMBER(F353),ISNUMBER(J353)),ROUND(F353*J353,0),IF(ISNUMBER(I353),I353,""))</f>
        <v/>
      </c>
      <c r="L353" s="33" t="n"/>
      <c r="M353" s="34">
        <f>IF(COUNTA(A353:B353,D353:I353,L353)=0,"",IF(B353="","案件番号がありません",IF(ISNA(MATCH(B353,'案件'!$A$6:$A$105,0)),"案件シートに無い番号です",IF(NOT(OR(D353="材料費",D353="労務費",D353="外注費",D353="経費")),"費目を4つから選んでください",IF(K353="",IF(AND(ISNUMBER(F353),NOT(ISNUMBER(J353))),IF(D353="労務費","単価がありません（設定の作業者名と同じ書き方に）","単価がありません"),IF(AND(ISNUMBER(J353),NOT(ISNUMBER(F353))),"数量がありません","金額がありません")),IF(NOT(ISNUMBER(A353)),"日付がありません（月別集計に入りません）",IF(AND(ISNUMBER(F353),ISNUMBER(J353),ISNUMBER(I353)),"数量×単価を使いました（金額の欄は使っていません）","")))))))</f>
        <v/>
      </c>
      <c r="N353" s="91">
        <f>IF(AND(B353&lt;&gt;"",B353='案件カード'!$C$3),COUNTIF($B$5:B353,'案件カード'!$C$3),"")</f>
        <v/>
      </c>
      <c r="O353" s="91">
        <f>IF(ISNUMBER(K353),IF(B353="",K353,IF(AND(ISNUMBER(MATCH(B353,'案件'!$A$6:$A$105,0)),OR(D353="材料費",D353="労務費",D353="外注費",D353="経費")),0,K353)),0)</f>
        <v/>
      </c>
    </row>
    <row r="354" ht="16" customHeight="1">
      <c r="A354" s="35" t="n"/>
      <c r="B354" s="36" t="n"/>
      <c r="C354" s="37">
        <f>IF(B354="","",IFERROR(INDEX('案件'!$B$6:$B$105,MATCH(B354,'案件'!$A$6:$A$105,0))&amp;"","（案件シートに無い番号）"))</f>
        <v/>
      </c>
      <c r="D354" s="36" t="n"/>
      <c r="E354" s="38" t="n"/>
      <c r="F354" s="39" t="n"/>
      <c r="G354" s="36" t="n"/>
      <c r="H354" s="40" t="n"/>
      <c r="I354" s="40" t="n"/>
      <c r="J354" s="41">
        <f>IF(ISNUMBER(H354),H354,IF(AND(D354="労務費",TRIM(E354)&lt;&gt;""),IFERROR(INDEX('設定'!$G$12:$G$31,MATCH(TRIM(E354),'設定'!$J$12:$J$31,0)),""),""))</f>
        <v/>
      </c>
      <c r="K354" s="30">
        <f>IF(AND(ISNUMBER(F354),ISNUMBER(J354)),ROUND(F354*J354,0),IF(ISNUMBER(I354),I354,""))</f>
        <v/>
      </c>
      <c r="L354" s="33" t="n"/>
      <c r="M354" s="34">
        <f>IF(COUNTA(A354:B354,D354:I354,L354)=0,"",IF(B354="","案件番号がありません",IF(ISNA(MATCH(B354,'案件'!$A$6:$A$105,0)),"案件シートに無い番号です",IF(NOT(OR(D354="材料費",D354="労務費",D354="外注費",D354="経費")),"費目を4つから選んでください",IF(K354="",IF(AND(ISNUMBER(F354),NOT(ISNUMBER(J354))),IF(D354="労務費","単価がありません（設定の作業者名と同じ書き方に）","単価がありません"),IF(AND(ISNUMBER(J354),NOT(ISNUMBER(F354))),"数量がありません","金額がありません")),IF(NOT(ISNUMBER(A354)),"日付がありません（月別集計に入りません）",IF(AND(ISNUMBER(F354),ISNUMBER(J354),ISNUMBER(I354)),"数量×単価を使いました（金額の欄は使っていません）","")))))))</f>
        <v/>
      </c>
      <c r="N354" s="91">
        <f>IF(AND(B354&lt;&gt;"",B354='案件カード'!$C$3),COUNTIF($B$5:B354,'案件カード'!$C$3),"")</f>
        <v/>
      </c>
      <c r="O354" s="91">
        <f>IF(ISNUMBER(K354),IF(B354="",K354,IF(AND(ISNUMBER(MATCH(B354,'案件'!$A$6:$A$105,0)),OR(D354="材料費",D354="労務費",D354="外注費",D354="経費")),0,K354)),0)</f>
        <v/>
      </c>
    </row>
    <row r="355" ht="16" customHeight="1">
      <c r="A355" s="35" t="n"/>
      <c r="B355" s="36" t="n"/>
      <c r="C355" s="37">
        <f>IF(B355="","",IFERROR(INDEX('案件'!$B$6:$B$105,MATCH(B355,'案件'!$A$6:$A$105,0))&amp;"","（案件シートに無い番号）"))</f>
        <v/>
      </c>
      <c r="D355" s="36" t="n"/>
      <c r="E355" s="38" t="n"/>
      <c r="F355" s="39" t="n"/>
      <c r="G355" s="36" t="n"/>
      <c r="H355" s="40" t="n"/>
      <c r="I355" s="40" t="n"/>
      <c r="J355" s="41">
        <f>IF(ISNUMBER(H355),H355,IF(AND(D355="労務費",TRIM(E355)&lt;&gt;""),IFERROR(INDEX('設定'!$G$12:$G$31,MATCH(TRIM(E355),'設定'!$J$12:$J$31,0)),""),""))</f>
        <v/>
      </c>
      <c r="K355" s="30">
        <f>IF(AND(ISNUMBER(F355),ISNUMBER(J355)),ROUND(F355*J355,0),IF(ISNUMBER(I355),I355,""))</f>
        <v/>
      </c>
      <c r="L355" s="33" t="n"/>
      <c r="M355" s="34">
        <f>IF(COUNTA(A355:B355,D355:I355,L355)=0,"",IF(B355="","案件番号がありません",IF(ISNA(MATCH(B355,'案件'!$A$6:$A$105,0)),"案件シートに無い番号です",IF(NOT(OR(D355="材料費",D355="労務費",D355="外注費",D355="経費")),"費目を4つから選んでください",IF(K355="",IF(AND(ISNUMBER(F355),NOT(ISNUMBER(J355))),IF(D355="労務費","単価がありません（設定の作業者名と同じ書き方に）","単価がありません"),IF(AND(ISNUMBER(J355),NOT(ISNUMBER(F355))),"数量がありません","金額がありません")),IF(NOT(ISNUMBER(A355)),"日付がありません（月別集計に入りません）",IF(AND(ISNUMBER(F355),ISNUMBER(J355),ISNUMBER(I355)),"数量×単価を使いました（金額の欄は使っていません）","")))))))</f>
        <v/>
      </c>
      <c r="N355" s="91">
        <f>IF(AND(B355&lt;&gt;"",B355='案件カード'!$C$3),COUNTIF($B$5:B355,'案件カード'!$C$3),"")</f>
        <v/>
      </c>
      <c r="O355" s="91">
        <f>IF(ISNUMBER(K355),IF(B355="",K355,IF(AND(ISNUMBER(MATCH(B355,'案件'!$A$6:$A$105,0)),OR(D355="材料費",D355="労務費",D355="外注費",D355="経費")),0,K355)),0)</f>
        <v/>
      </c>
    </row>
    <row r="356" ht="16" customHeight="1">
      <c r="A356" s="35" t="n"/>
      <c r="B356" s="36" t="n"/>
      <c r="C356" s="37">
        <f>IF(B356="","",IFERROR(INDEX('案件'!$B$6:$B$105,MATCH(B356,'案件'!$A$6:$A$105,0))&amp;"","（案件シートに無い番号）"))</f>
        <v/>
      </c>
      <c r="D356" s="36" t="n"/>
      <c r="E356" s="38" t="n"/>
      <c r="F356" s="39" t="n"/>
      <c r="G356" s="36" t="n"/>
      <c r="H356" s="40" t="n"/>
      <c r="I356" s="40" t="n"/>
      <c r="J356" s="41">
        <f>IF(ISNUMBER(H356),H356,IF(AND(D356="労務費",TRIM(E356)&lt;&gt;""),IFERROR(INDEX('設定'!$G$12:$G$31,MATCH(TRIM(E356),'設定'!$J$12:$J$31,0)),""),""))</f>
        <v/>
      </c>
      <c r="K356" s="30">
        <f>IF(AND(ISNUMBER(F356),ISNUMBER(J356)),ROUND(F356*J356,0),IF(ISNUMBER(I356),I356,""))</f>
        <v/>
      </c>
      <c r="L356" s="33" t="n"/>
      <c r="M356" s="34">
        <f>IF(COUNTA(A356:B356,D356:I356,L356)=0,"",IF(B356="","案件番号がありません",IF(ISNA(MATCH(B356,'案件'!$A$6:$A$105,0)),"案件シートに無い番号です",IF(NOT(OR(D356="材料費",D356="労務費",D356="外注費",D356="経費")),"費目を4つから選んでください",IF(K356="",IF(AND(ISNUMBER(F356),NOT(ISNUMBER(J356))),IF(D356="労務費","単価がありません（設定の作業者名と同じ書き方に）","単価がありません"),IF(AND(ISNUMBER(J356),NOT(ISNUMBER(F356))),"数量がありません","金額がありません")),IF(NOT(ISNUMBER(A356)),"日付がありません（月別集計に入りません）",IF(AND(ISNUMBER(F356),ISNUMBER(J356),ISNUMBER(I356)),"数量×単価を使いました（金額の欄は使っていません）","")))))))</f>
        <v/>
      </c>
      <c r="N356" s="91">
        <f>IF(AND(B356&lt;&gt;"",B356='案件カード'!$C$3),COUNTIF($B$5:B356,'案件カード'!$C$3),"")</f>
        <v/>
      </c>
      <c r="O356" s="91">
        <f>IF(ISNUMBER(K356),IF(B356="",K356,IF(AND(ISNUMBER(MATCH(B356,'案件'!$A$6:$A$105,0)),OR(D356="材料費",D356="労務費",D356="外注費",D356="経費")),0,K356)),0)</f>
        <v/>
      </c>
    </row>
    <row r="357" ht="16" customHeight="1">
      <c r="A357" s="35" t="n"/>
      <c r="B357" s="36" t="n"/>
      <c r="C357" s="37">
        <f>IF(B357="","",IFERROR(INDEX('案件'!$B$6:$B$105,MATCH(B357,'案件'!$A$6:$A$105,0))&amp;"","（案件シートに無い番号）"))</f>
        <v/>
      </c>
      <c r="D357" s="36" t="n"/>
      <c r="E357" s="38" t="n"/>
      <c r="F357" s="39" t="n"/>
      <c r="G357" s="36" t="n"/>
      <c r="H357" s="40" t="n"/>
      <c r="I357" s="40" t="n"/>
      <c r="J357" s="41">
        <f>IF(ISNUMBER(H357),H357,IF(AND(D357="労務費",TRIM(E357)&lt;&gt;""),IFERROR(INDEX('設定'!$G$12:$G$31,MATCH(TRIM(E357),'設定'!$J$12:$J$31,0)),""),""))</f>
        <v/>
      </c>
      <c r="K357" s="30">
        <f>IF(AND(ISNUMBER(F357),ISNUMBER(J357)),ROUND(F357*J357,0),IF(ISNUMBER(I357),I357,""))</f>
        <v/>
      </c>
      <c r="L357" s="33" t="n"/>
      <c r="M357" s="34">
        <f>IF(COUNTA(A357:B357,D357:I357,L357)=0,"",IF(B357="","案件番号がありません",IF(ISNA(MATCH(B357,'案件'!$A$6:$A$105,0)),"案件シートに無い番号です",IF(NOT(OR(D357="材料費",D357="労務費",D357="外注費",D357="経費")),"費目を4つから選んでください",IF(K357="",IF(AND(ISNUMBER(F357),NOT(ISNUMBER(J357))),IF(D357="労務費","単価がありません（設定の作業者名と同じ書き方に）","単価がありません"),IF(AND(ISNUMBER(J357),NOT(ISNUMBER(F357))),"数量がありません","金額がありません")),IF(NOT(ISNUMBER(A357)),"日付がありません（月別集計に入りません）",IF(AND(ISNUMBER(F357),ISNUMBER(J357),ISNUMBER(I357)),"数量×単価を使いました（金額の欄は使っていません）","")))))))</f>
        <v/>
      </c>
      <c r="N357" s="91">
        <f>IF(AND(B357&lt;&gt;"",B357='案件カード'!$C$3),COUNTIF($B$5:B357,'案件カード'!$C$3),"")</f>
        <v/>
      </c>
      <c r="O357" s="91">
        <f>IF(ISNUMBER(K357),IF(B357="",K357,IF(AND(ISNUMBER(MATCH(B357,'案件'!$A$6:$A$105,0)),OR(D357="材料費",D357="労務費",D357="外注費",D357="経費")),0,K357)),0)</f>
        <v/>
      </c>
    </row>
    <row r="358" ht="16" customHeight="1">
      <c r="A358" s="35" t="n"/>
      <c r="B358" s="36" t="n"/>
      <c r="C358" s="37">
        <f>IF(B358="","",IFERROR(INDEX('案件'!$B$6:$B$105,MATCH(B358,'案件'!$A$6:$A$105,0))&amp;"","（案件シートに無い番号）"))</f>
        <v/>
      </c>
      <c r="D358" s="36" t="n"/>
      <c r="E358" s="38" t="n"/>
      <c r="F358" s="39" t="n"/>
      <c r="G358" s="36" t="n"/>
      <c r="H358" s="40" t="n"/>
      <c r="I358" s="40" t="n"/>
      <c r="J358" s="41">
        <f>IF(ISNUMBER(H358),H358,IF(AND(D358="労務費",TRIM(E358)&lt;&gt;""),IFERROR(INDEX('設定'!$G$12:$G$31,MATCH(TRIM(E358),'設定'!$J$12:$J$31,0)),""),""))</f>
        <v/>
      </c>
      <c r="K358" s="30">
        <f>IF(AND(ISNUMBER(F358),ISNUMBER(J358)),ROUND(F358*J358,0),IF(ISNUMBER(I358),I358,""))</f>
        <v/>
      </c>
      <c r="L358" s="33" t="n"/>
      <c r="M358" s="34">
        <f>IF(COUNTA(A358:B358,D358:I358,L358)=0,"",IF(B358="","案件番号がありません",IF(ISNA(MATCH(B358,'案件'!$A$6:$A$105,0)),"案件シートに無い番号です",IF(NOT(OR(D358="材料費",D358="労務費",D358="外注費",D358="経費")),"費目を4つから選んでください",IF(K358="",IF(AND(ISNUMBER(F358),NOT(ISNUMBER(J358))),IF(D358="労務費","単価がありません（設定の作業者名と同じ書き方に）","単価がありません"),IF(AND(ISNUMBER(J358),NOT(ISNUMBER(F358))),"数量がありません","金額がありません")),IF(NOT(ISNUMBER(A358)),"日付がありません（月別集計に入りません）",IF(AND(ISNUMBER(F358),ISNUMBER(J358),ISNUMBER(I358)),"数量×単価を使いました（金額の欄は使っていません）","")))))))</f>
        <v/>
      </c>
      <c r="N358" s="91">
        <f>IF(AND(B358&lt;&gt;"",B358='案件カード'!$C$3),COUNTIF($B$5:B358,'案件カード'!$C$3),"")</f>
        <v/>
      </c>
      <c r="O358" s="91">
        <f>IF(ISNUMBER(K358),IF(B358="",K358,IF(AND(ISNUMBER(MATCH(B358,'案件'!$A$6:$A$105,0)),OR(D358="材料費",D358="労務費",D358="外注費",D358="経費")),0,K358)),0)</f>
        <v/>
      </c>
    </row>
    <row r="359" ht="16" customHeight="1">
      <c r="A359" s="35" t="n"/>
      <c r="B359" s="36" t="n"/>
      <c r="C359" s="37">
        <f>IF(B359="","",IFERROR(INDEX('案件'!$B$6:$B$105,MATCH(B359,'案件'!$A$6:$A$105,0))&amp;"","（案件シートに無い番号）"))</f>
        <v/>
      </c>
      <c r="D359" s="36" t="n"/>
      <c r="E359" s="38" t="n"/>
      <c r="F359" s="39" t="n"/>
      <c r="G359" s="36" t="n"/>
      <c r="H359" s="40" t="n"/>
      <c r="I359" s="40" t="n"/>
      <c r="J359" s="41">
        <f>IF(ISNUMBER(H359),H359,IF(AND(D359="労務費",TRIM(E359)&lt;&gt;""),IFERROR(INDEX('設定'!$G$12:$G$31,MATCH(TRIM(E359),'設定'!$J$12:$J$31,0)),""),""))</f>
        <v/>
      </c>
      <c r="K359" s="30">
        <f>IF(AND(ISNUMBER(F359),ISNUMBER(J359)),ROUND(F359*J359,0),IF(ISNUMBER(I359),I359,""))</f>
        <v/>
      </c>
      <c r="L359" s="33" t="n"/>
      <c r="M359" s="34">
        <f>IF(COUNTA(A359:B359,D359:I359,L359)=0,"",IF(B359="","案件番号がありません",IF(ISNA(MATCH(B359,'案件'!$A$6:$A$105,0)),"案件シートに無い番号です",IF(NOT(OR(D359="材料費",D359="労務費",D359="外注費",D359="経費")),"費目を4つから選んでください",IF(K359="",IF(AND(ISNUMBER(F359),NOT(ISNUMBER(J359))),IF(D359="労務費","単価がありません（設定の作業者名と同じ書き方に）","単価がありません"),IF(AND(ISNUMBER(J359),NOT(ISNUMBER(F359))),"数量がありません","金額がありません")),IF(NOT(ISNUMBER(A359)),"日付がありません（月別集計に入りません）",IF(AND(ISNUMBER(F359),ISNUMBER(J359),ISNUMBER(I359)),"数量×単価を使いました（金額の欄は使っていません）","")))))))</f>
        <v/>
      </c>
      <c r="N359" s="91">
        <f>IF(AND(B359&lt;&gt;"",B359='案件カード'!$C$3),COUNTIF($B$5:B359,'案件カード'!$C$3),"")</f>
        <v/>
      </c>
      <c r="O359" s="91">
        <f>IF(ISNUMBER(K359),IF(B359="",K359,IF(AND(ISNUMBER(MATCH(B359,'案件'!$A$6:$A$105,0)),OR(D359="材料費",D359="労務費",D359="外注費",D359="経費")),0,K359)),0)</f>
        <v/>
      </c>
    </row>
    <row r="360" ht="16" customHeight="1">
      <c r="A360" s="35" t="n"/>
      <c r="B360" s="36" t="n"/>
      <c r="C360" s="37">
        <f>IF(B360="","",IFERROR(INDEX('案件'!$B$6:$B$105,MATCH(B360,'案件'!$A$6:$A$105,0))&amp;"","（案件シートに無い番号）"))</f>
        <v/>
      </c>
      <c r="D360" s="36" t="n"/>
      <c r="E360" s="38" t="n"/>
      <c r="F360" s="39" t="n"/>
      <c r="G360" s="36" t="n"/>
      <c r="H360" s="40" t="n"/>
      <c r="I360" s="40" t="n"/>
      <c r="J360" s="41">
        <f>IF(ISNUMBER(H360),H360,IF(AND(D360="労務費",TRIM(E360)&lt;&gt;""),IFERROR(INDEX('設定'!$G$12:$G$31,MATCH(TRIM(E360),'設定'!$J$12:$J$31,0)),""),""))</f>
        <v/>
      </c>
      <c r="K360" s="30">
        <f>IF(AND(ISNUMBER(F360),ISNUMBER(J360)),ROUND(F360*J360,0),IF(ISNUMBER(I360),I360,""))</f>
        <v/>
      </c>
      <c r="L360" s="33" t="n"/>
      <c r="M360" s="34">
        <f>IF(COUNTA(A360:B360,D360:I360,L360)=0,"",IF(B360="","案件番号がありません",IF(ISNA(MATCH(B360,'案件'!$A$6:$A$105,0)),"案件シートに無い番号です",IF(NOT(OR(D360="材料費",D360="労務費",D360="外注費",D360="経費")),"費目を4つから選んでください",IF(K360="",IF(AND(ISNUMBER(F360),NOT(ISNUMBER(J360))),IF(D360="労務費","単価がありません（設定の作業者名と同じ書き方に）","単価がありません"),IF(AND(ISNUMBER(J360),NOT(ISNUMBER(F360))),"数量がありません","金額がありません")),IF(NOT(ISNUMBER(A360)),"日付がありません（月別集計に入りません）",IF(AND(ISNUMBER(F360),ISNUMBER(J360),ISNUMBER(I360)),"数量×単価を使いました（金額の欄は使っていません）","")))))))</f>
        <v/>
      </c>
      <c r="N360" s="91">
        <f>IF(AND(B360&lt;&gt;"",B360='案件カード'!$C$3),COUNTIF($B$5:B360,'案件カード'!$C$3),"")</f>
        <v/>
      </c>
      <c r="O360" s="91">
        <f>IF(ISNUMBER(K360),IF(B360="",K360,IF(AND(ISNUMBER(MATCH(B360,'案件'!$A$6:$A$105,0)),OR(D360="材料費",D360="労務費",D360="外注費",D360="経費")),0,K360)),0)</f>
        <v/>
      </c>
    </row>
    <row r="361" ht="16" customHeight="1">
      <c r="A361" s="35" t="n"/>
      <c r="B361" s="36" t="n"/>
      <c r="C361" s="37">
        <f>IF(B361="","",IFERROR(INDEX('案件'!$B$6:$B$105,MATCH(B361,'案件'!$A$6:$A$105,0))&amp;"","（案件シートに無い番号）"))</f>
        <v/>
      </c>
      <c r="D361" s="36" t="n"/>
      <c r="E361" s="38" t="n"/>
      <c r="F361" s="39" t="n"/>
      <c r="G361" s="36" t="n"/>
      <c r="H361" s="40" t="n"/>
      <c r="I361" s="40" t="n"/>
      <c r="J361" s="41">
        <f>IF(ISNUMBER(H361),H361,IF(AND(D361="労務費",TRIM(E361)&lt;&gt;""),IFERROR(INDEX('設定'!$G$12:$G$31,MATCH(TRIM(E361),'設定'!$J$12:$J$31,0)),""),""))</f>
        <v/>
      </c>
      <c r="K361" s="30">
        <f>IF(AND(ISNUMBER(F361),ISNUMBER(J361)),ROUND(F361*J361,0),IF(ISNUMBER(I361),I361,""))</f>
        <v/>
      </c>
      <c r="L361" s="33" t="n"/>
      <c r="M361" s="34">
        <f>IF(COUNTA(A361:B361,D361:I361,L361)=0,"",IF(B361="","案件番号がありません",IF(ISNA(MATCH(B361,'案件'!$A$6:$A$105,0)),"案件シートに無い番号です",IF(NOT(OR(D361="材料費",D361="労務費",D361="外注費",D361="経費")),"費目を4つから選んでください",IF(K361="",IF(AND(ISNUMBER(F361),NOT(ISNUMBER(J361))),IF(D361="労務費","単価がありません（設定の作業者名と同じ書き方に）","単価がありません"),IF(AND(ISNUMBER(J361),NOT(ISNUMBER(F361))),"数量がありません","金額がありません")),IF(NOT(ISNUMBER(A361)),"日付がありません（月別集計に入りません）",IF(AND(ISNUMBER(F361),ISNUMBER(J361),ISNUMBER(I361)),"数量×単価を使いました（金額の欄は使っていません）","")))))))</f>
        <v/>
      </c>
      <c r="N361" s="91">
        <f>IF(AND(B361&lt;&gt;"",B361='案件カード'!$C$3),COUNTIF($B$5:B361,'案件カード'!$C$3),"")</f>
        <v/>
      </c>
      <c r="O361" s="91">
        <f>IF(ISNUMBER(K361),IF(B361="",K361,IF(AND(ISNUMBER(MATCH(B361,'案件'!$A$6:$A$105,0)),OR(D361="材料費",D361="労務費",D361="外注費",D361="経費")),0,K361)),0)</f>
        <v/>
      </c>
    </row>
    <row r="362" ht="16" customHeight="1">
      <c r="A362" s="35" t="n"/>
      <c r="B362" s="36" t="n"/>
      <c r="C362" s="37">
        <f>IF(B362="","",IFERROR(INDEX('案件'!$B$6:$B$105,MATCH(B362,'案件'!$A$6:$A$105,0))&amp;"","（案件シートに無い番号）"))</f>
        <v/>
      </c>
      <c r="D362" s="36" t="n"/>
      <c r="E362" s="38" t="n"/>
      <c r="F362" s="39" t="n"/>
      <c r="G362" s="36" t="n"/>
      <c r="H362" s="40" t="n"/>
      <c r="I362" s="40" t="n"/>
      <c r="J362" s="41">
        <f>IF(ISNUMBER(H362),H362,IF(AND(D362="労務費",TRIM(E362)&lt;&gt;""),IFERROR(INDEX('設定'!$G$12:$G$31,MATCH(TRIM(E362),'設定'!$J$12:$J$31,0)),""),""))</f>
        <v/>
      </c>
      <c r="K362" s="30">
        <f>IF(AND(ISNUMBER(F362),ISNUMBER(J362)),ROUND(F362*J362,0),IF(ISNUMBER(I362),I362,""))</f>
        <v/>
      </c>
      <c r="L362" s="33" t="n"/>
      <c r="M362" s="34">
        <f>IF(COUNTA(A362:B362,D362:I362,L362)=0,"",IF(B362="","案件番号がありません",IF(ISNA(MATCH(B362,'案件'!$A$6:$A$105,0)),"案件シートに無い番号です",IF(NOT(OR(D362="材料費",D362="労務費",D362="外注費",D362="経費")),"費目を4つから選んでください",IF(K362="",IF(AND(ISNUMBER(F362),NOT(ISNUMBER(J362))),IF(D362="労務費","単価がありません（設定の作業者名と同じ書き方に）","単価がありません"),IF(AND(ISNUMBER(J362),NOT(ISNUMBER(F362))),"数量がありません","金額がありません")),IF(NOT(ISNUMBER(A362)),"日付がありません（月別集計に入りません）",IF(AND(ISNUMBER(F362),ISNUMBER(J362),ISNUMBER(I362)),"数量×単価を使いました（金額の欄は使っていません）","")))))))</f>
        <v/>
      </c>
      <c r="N362" s="91">
        <f>IF(AND(B362&lt;&gt;"",B362='案件カード'!$C$3),COUNTIF($B$5:B362,'案件カード'!$C$3),"")</f>
        <v/>
      </c>
      <c r="O362" s="91">
        <f>IF(ISNUMBER(K362),IF(B362="",K362,IF(AND(ISNUMBER(MATCH(B362,'案件'!$A$6:$A$105,0)),OR(D362="材料費",D362="労務費",D362="外注費",D362="経費")),0,K362)),0)</f>
        <v/>
      </c>
    </row>
    <row r="363" ht="16" customHeight="1">
      <c r="A363" s="35" t="n"/>
      <c r="B363" s="36" t="n"/>
      <c r="C363" s="37">
        <f>IF(B363="","",IFERROR(INDEX('案件'!$B$6:$B$105,MATCH(B363,'案件'!$A$6:$A$105,0))&amp;"","（案件シートに無い番号）"))</f>
        <v/>
      </c>
      <c r="D363" s="36" t="n"/>
      <c r="E363" s="38" t="n"/>
      <c r="F363" s="39" t="n"/>
      <c r="G363" s="36" t="n"/>
      <c r="H363" s="40" t="n"/>
      <c r="I363" s="40" t="n"/>
      <c r="J363" s="41">
        <f>IF(ISNUMBER(H363),H363,IF(AND(D363="労務費",TRIM(E363)&lt;&gt;""),IFERROR(INDEX('設定'!$G$12:$G$31,MATCH(TRIM(E363),'設定'!$J$12:$J$31,0)),""),""))</f>
        <v/>
      </c>
      <c r="K363" s="30">
        <f>IF(AND(ISNUMBER(F363),ISNUMBER(J363)),ROUND(F363*J363,0),IF(ISNUMBER(I363),I363,""))</f>
        <v/>
      </c>
      <c r="L363" s="33" t="n"/>
      <c r="M363" s="34">
        <f>IF(COUNTA(A363:B363,D363:I363,L363)=0,"",IF(B363="","案件番号がありません",IF(ISNA(MATCH(B363,'案件'!$A$6:$A$105,0)),"案件シートに無い番号です",IF(NOT(OR(D363="材料費",D363="労務費",D363="外注費",D363="経費")),"費目を4つから選んでください",IF(K363="",IF(AND(ISNUMBER(F363),NOT(ISNUMBER(J363))),IF(D363="労務費","単価がありません（設定の作業者名と同じ書き方に）","単価がありません"),IF(AND(ISNUMBER(J363),NOT(ISNUMBER(F363))),"数量がありません","金額がありません")),IF(NOT(ISNUMBER(A363)),"日付がありません（月別集計に入りません）",IF(AND(ISNUMBER(F363),ISNUMBER(J363),ISNUMBER(I363)),"数量×単価を使いました（金額の欄は使っていません）","")))))))</f>
        <v/>
      </c>
      <c r="N363" s="91">
        <f>IF(AND(B363&lt;&gt;"",B363='案件カード'!$C$3),COUNTIF($B$5:B363,'案件カード'!$C$3),"")</f>
        <v/>
      </c>
      <c r="O363" s="91">
        <f>IF(ISNUMBER(K363),IF(B363="",K363,IF(AND(ISNUMBER(MATCH(B363,'案件'!$A$6:$A$105,0)),OR(D363="材料費",D363="労務費",D363="外注費",D363="経費")),0,K363)),0)</f>
        <v/>
      </c>
    </row>
    <row r="364" ht="16" customHeight="1">
      <c r="A364" s="35" t="n"/>
      <c r="B364" s="36" t="n"/>
      <c r="C364" s="37">
        <f>IF(B364="","",IFERROR(INDEX('案件'!$B$6:$B$105,MATCH(B364,'案件'!$A$6:$A$105,0))&amp;"","（案件シートに無い番号）"))</f>
        <v/>
      </c>
      <c r="D364" s="36" t="n"/>
      <c r="E364" s="38" t="n"/>
      <c r="F364" s="39" t="n"/>
      <c r="G364" s="36" t="n"/>
      <c r="H364" s="40" t="n"/>
      <c r="I364" s="40" t="n"/>
      <c r="J364" s="41">
        <f>IF(ISNUMBER(H364),H364,IF(AND(D364="労務費",TRIM(E364)&lt;&gt;""),IFERROR(INDEX('設定'!$G$12:$G$31,MATCH(TRIM(E364),'設定'!$J$12:$J$31,0)),""),""))</f>
        <v/>
      </c>
      <c r="K364" s="30">
        <f>IF(AND(ISNUMBER(F364),ISNUMBER(J364)),ROUND(F364*J364,0),IF(ISNUMBER(I364),I364,""))</f>
        <v/>
      </c>
      <c r="L364" s="33" t="n"/>
      <c r="M364" s="34">
        <f>IF(COUNTA(A364:B364,D364:I364,L364)=0,"",IF(B364="","案件番号がありません",IF(ISNA(MATCH(B364,'案件'!$A$6:$A$105,0)),"案件シートに無い番号です",IF(NOT(OR(D364="材料費",D364="労務費",D364="外注費",D364="経費")),"費目を4つから選んでください",IF(K364="",IF(AND(ISNUMBER(F364),NOT(ISNUMBER(J364))),IF(D364="労務費","単価がありません（設定の作業者名と同じ書き方に）","単価がありません"),IF(AND(ISNUMBER(J364),NOT(ISNUMBER(F364))),"数量がありません","金額がありません")),IF(NOT(ISNUMBER(A364)),"日付がありません（月別集計に入りません）",IF(AND(ISNUMBER(F364),ISNUMBER(J364),ISNUMBER(I364)),"数量×単価を使いました（金額の欄は使っていません）","")))))))</f>
        <v/>
      </c>
      <c r="N364" s="91">
        <f>IF(AND(B364&lt;&gt;"",B364='案件カード'!$C$3),COUNTIF($B$5:B364,'案件カード'!$C$3),"")</f>
        <v/>
      </c>
      <c r="O364" s="91">
        <f>IF(ISNUMBER(K364),IF(B364="",K364,IF(AND(ISNUMBER(MATCH(B364,'案件'!$A$6:$A$105,0)),OR(D364="材料費",D364="労務費",D364="外注費",D364="経費")),0,K364)),0)</f>
        <v/>
      </c>
    </row>
    <row r="365" ht="16" customHeight="1">
      <c r="A365" s="35" t="n"/>
      <c r="B365" s="36" t="n"/>
      <c r="C365" s="37">
        <f>IF(B365="","",IFERROR(INDEX('案件'!$B$6:$B$105,MATCH(B365,'案件'!$A$6:$A$105,0))&amp;"","（案件シートに無い番号）"))</f>
        <v/>
      </c>
      <c r="D365" s="36" t="n"/>
      <c r="E365" s="38" t="n"/>
      <c r="F365" s="39" t="n"/>
      <c r="G365" s="36" t="n"/>
      <c r="H365" s="40" t="n"/>
      <c r="I365" s="40" t="n"/>
      <c r="J365" s="41">
        <f>IF(ISNUMBER(H365),H365,IF(AND(D365="労務費",TRIM(E365)&lt;&gt;""),IFERROR(INDEX('設定'!$G$12:$G$31,MATCH(TRIM(E365),'設定'!$J$12:$J$31,0)),""),""))</f>
        <v/>
      </c>
      <c r="K365" s="30">
        <f>IF(AND(ISNUMBER(F365),ISNUMBER(J365)),ROUND(F365*J365,0),IF(ISNUMBER(I365),I365,""))</f>
        <v/>
      </c>
      <c r="L365" s="33" t="n"/>
      <c r="M365" s="34">
        <f>IF(COUNTA(A365:B365,D365:I365,L365)=0,"",IF(B365="","案件番号がありません",IF(ISNA(MATCH(B365,'案件'!$A$6:$A$105,0)),"案件シートに無い番号です",IF(NOT(OR(D365="材料費",D365="労務費",D365="外注費",D365="経費")),"費目を4つから選んでください",IF(K365="",IF(AND(ISNUMBER(F365),NOT(ISNUMBER(J365))),IF(D365="労務費","単価がありません（設定の作業者名と同じ書き方に）","単価がありません"),IF(AND(ISNUMBER(J365),NOT(ISNUMBER(F365))),"数量がありません","金額がありません")),IF(NOT(ISNUMBER(A365)),"日付がありません（月別集計に入りません）",IF(AND(ISNUMBER(F365),ISNUMBER(J365),ISNUMBER(I365)),"数量×単価を使いました（金額の欄は使っていません）","")))))))</f>
        <v/>
      </c>
      <c r="N365" s="91">
        <f>IF(AND(B365&lt;&gt;"",B365='案件カード'!$C$3),COUNTIF($B$5:B365,'案件カード'!$C$3),"")</f>
        <v/>
      </c>
      <c r="O365" s="91">
        <f>IF(ISNUMBER(K365),IF(B365="",K365,IF(AND(ISNUMBER(MATCH(B365,'案件'!$A$6:$A$105,0)),OR(D365="材料費",D365="労務費",D365="外注費",D365="経費")),0,K365)),0)</f>
        <v/>
      </c>
    </row>
    <row r="366" ht="16" customHeight="1">
      <c r="A366" s="35" t="n"/>
      <c r="B366" s="36" t="n"/>
      <c r="C366" s="37">
        <f>IF(B366="","",IFERROR(INDEX('案件'!$B$6:$B$105,MATCH(B366,'案件'!$A$6:$A$105,0))&amp;"","（案件シートに無い番号）"))</f>
        <v/>
      </c>
      <c r="D366" s="36" t="n"/>
      <c r="E366" s="38" t="n"/>
      <c r="F366" s="39" t="n"/>
      <c r="G366" s="36" t="n"/>
      <c r="H366" s="40" t="n"/>
      <c r="I366" s="40" t="n"/>
      <c r="J366" s="41">
        <f>IF(ISNUMBER(H366),H366,IF(AND(D366="労務費",TRIM(E366)&lt;&gt;""),IFERROR(INDEX('設定'!$G$12:$G$31,MATCH(TRIM(E366),'設定'!$J$12:$J$31,0)),""),""))</f>
        <v/>
      </c>
      <c r="K366" s="30">
        <f>IF(AND(ISNUMBER(F366),ISNUMBER(J366)),ROUND(F366*J366,0),IF(ISNUMBER(I366),I366,""))</f>
        <v/>
      </c>
      <c r="L366" s="33" t="n"/>
      <c r="M366" s="34">
        <f>IF(COUNTA(A366:B366,D366:I366,L366)=0,"",IF(B366="","案件番号がありません",IF(ISNA(MATCH(B366,'案件'!$A$6:$A$105,0)),"案件シートに無い番号です",IF(NOT(OR(D366="材料費",D366="労務費",D366="外注費",D366="経費")),"費目を4つから選んでください",IF(K366="",IF(AND(ISNUMBER(F366),NOT(ISNUMBER(J366))),IF(D366="労務費","単価がありません（設定の作業者名と同じ書き方に）","単価がありません"),IF(AND(ISNUMBER(J366),NOT(ISNUMBER(F366))),"数量がありません","金額がありません")),IF(NOT(ISNUMBER(A366)),"日付がありません（月別集計に入りません）",IF(AND(ISNUMBER(F366),ISNUMBER(J366),ISNUMBER(I366)),"数量×単価を使いました（金額の欄は使っていません）","")))))))</f>
        <v/>
      </c>
      <c r="N366" s="91">
        <f>IF(AND(B366&lt;&gt;"",B366='案件カード'!$C$3),COUNTIF($B$5:B366,'案件カード'!$C$3),"")</f>
        <v/>
      </c>
      <c r="O366" s="91">
        <f>IF(ISNUMBER(K366),IF(B366="",K366,IF(AND(ISNUMBER(MATCH(B366,'案件'!$A$6:$A$105,0)),OR(D366="材料費",D366="労務費",D366="外注費",D366="経費")),0,K366)),0)</f>
        <v/>
      </c>
    </row>
    <row r="367" ht="16" customHeight="1">
      <c r="A367" s="35" t="n"/>
      <c r="B367" s="36" t="n"/>
      <c r="C367" s="37">
        <f>IF(B367="","",IFERROR(INDEX('案件'!$B$6:$B$105,MATCH(B367,'案件'!$A$6:$A$105,0))&amp;"","（案件シートに無い番号）"))</f>
        <v/>
      </c>
      <c r="D367" s="36" t="n"/>
      <c r="E367" s="38" t="n"/>
      <c r="F367" s="39" t="n"/>
      <c r="G367" s="36" t="n"/>
      <c r="H367" s="40" t="n"/>
      <c r="I367" s="40" t="n"/>
      <c r="J367" s="41">
        <f>IF(ISNUMBER(H367),H367,IF(AND(D367="労務費",TRIM(E367)&lt;&gt;""),IFERROR(INDEX('設定'!$G$12:$G$31,MATCH(TRIM(E367),'設定'!$J$12:$J$31,0)),""),""))</f>
        <v/>
      </c>
      <c r="K367" s="30">
        <f>IF(AND(ISNUMBER(F367),ISNUMBER(J367)),ROUND(F367*J367,0),IF(ISNUMBER(I367),I367,""))</f>
        <v/>
      </c>
      <c r="L367" s="33" t="n"/>
      <c r="M367" s="34">
        <f>IF(COUNTA(A367:B367,D367:I367,L367)=0,"",IF(B367="","案件番号がありません",IF(ISNA(MATCH(B367,'案件'!$A$6:$A$105,0)),"案件シートに無い番号です",IF(NOT(OR(D367="材料費",D367="労務費",D367="外注費",D367="経費")),"費目を4つから選んでください",IF(K367="",IF(AND(ISNUMBER(F367),NOT(ISNUMBER(J367))),IF(D367="労務費","単価がありません（設定の作業者名と同じ書き方に）","単価がありません"),IF(AND(ISNUMBER(J367),NOT(ISNUMBER(F367))),"数量がありません","金額がありません")),IF(NOT(ISNUMBER(A367)),"日付がありません（月別集計に入りません）",IF(AND(ISNUMBER(F367),ISNUMBER(J367),ISNUMBER(I367)),"数量×単価を使いました（金額の欄は使っていません）","")))))))</f>
        <v/>
      </c>
      <c r="N367" s="91">
        <f>IF(AND(B367&lt;&gt;"",B367='案件カード'!$C$3),COUNTIF($B$5:B367,'案件カード'!$C$3),"")</f>
        <v/>
      </c>
      <c r="O367" s="91">
        <f>IF(ISNUMBER(K367),IF(B367="",K367,IF(AND(ISNUMBER(MATCH(B367,'案件'!$A$6:$A$105,0)),OR(D367="材料費",D367="労務費",D367="外注費",D367="経費")),0,K367)),0)</f>
        <v/>
      </c>
    </row>
    <row r="368" ht="16" customHeight="1">
      <c r="A368" s="35" t="n"/>
      <c r="B368" s="36" t="n"/>
      <c r="C368" s="37">
        <f>IF(B368="","",IFERROR(INDEX('案件'!$B$6:$B$105,MATCH(B368,'案件'!$A$6:$A$105,0))&amp;"","（案件シートに無い番号）"))</f>
        <v/>
      </c>
      <c r="D368" s="36" t="n"/>
      <c r="E368" s="38" t="n"/>
      <c r="F368" s="39" t="n"/>
      <c r="G368" s="36" t="n"/>
      <c r="H368" s="40" t="n"/>
      <c r="I368" s="40" t="n"/>
      <c r="J368" s="41">
        <f>IF(ISNUMBER(H368),H368,IF(AND(D368="労務費",TRIM(E368)&lt;&gt;""),IFERROR(INDEX('設定'!$G$12:$G$31,MATCH(TRIM(E368),'設定'!$J$12:$J$31,0)),""),""))</f>
        <v/>
      </c>
      <c r="K368" s="30">
        <f>IF(AND(ISNUMBER(F368),ISNUMBER(J368)),ROUND(F368*J368,0),IF(ISNUMBER(I368),I368,""))</f>
        <v/>
      </c>
      <c r="L368" s="33" t="n"/>
      <c r="M368" s="34">
        <f>IF(COUNTA(A368:B368,D368:I368,L368)=0,"",IF(B368="","案件番号がありません",IF(ISNA(MATCH(B368,'案件'!$A$6:$A$105,0)),"案件シートに無い番号です",IF(NOT(OR(D368="材料費",D368="労務費",D368="外注費",D368="経費")),"費目を4つから選んでください",IF(K368="",IF(AND(ISNUMBER(F368),NOT(ISNUMBER(J368))),IF(D368="労務費","単価がありません（設定の作業者名と同じ書き方に）","単価がありません"),IF(AND(ISNUMBER(J368),NOT(ISNUMBER(F368))),"数量がありません","金額がありません")),IF(NOT(ISNUMBER(A368)),"日付がありません（月別集計に入りません）",IF(AND(ISNUMBER(F368),ISNUMBER(J368),ISNUMBER(I368)),"数量×単価を使いました（金額の欄は使っていません）","")))))))</f>
        <v/>
      </c>
      <c r="N368" s="91">
        <f>IF(AND(B368&lt;&gt;"",B368='案件カード'!$C$3),COUNTIF($B$5:B368,'案件カード'!$C$3),"")</f>
        <v/>
      </c>
      <c r="O368" s="91">
        <f>IF(ISNUMBER(K368),IF(B368="",K368,IF(AND(ISNUMBER(MATCH(B368,'案件'!$A$6:$A$105,0)),OR(D368="材料費",D368="労務費",D368="外注費",D368="経費")),0,K368)),0)</f>
        <v/>
      </c>
    </row>
    <row r="369" ht="16" customHeight="1">
      <c r="A369" s="35" t="n"/>
      <c r="B369" s="36" t="n"/>
      <c r="C369" s="37">
        <f>IF(B369="","",IFERROR(INDEX('案件'!$B$6:$B$105,MATCH(B369,'案件'!$A$6:$A$105,0))&amp;"","（案件シートに無い番号）"))</f>
        <v/>
      </c>
      <c r="D369" s="36" t="n"/>
      <c r="E369" s="38" t="n"/>
      <c r="F369" s="39" t="n"/>
      <c r="G369" s="36" t="n"/>
      <c r="H369" s="40" t="n"/>
      <c r="I369" s="40" t="n"/>
      <c r="J369" s="41">
        <f>IF(ISNUMBER(H369),H369,IF(AND(D369="労務費",TRIM(E369)&lt;&gt;""),IFERROR(INDEX('設定'!$G$12:$G$31,MATCH(TRIM(E369),'設定'!$J$12:$J$31,0)),""),""))</f>
        <v/>
      </c>
      <c r="K369" s="30">
        <f>IF(AND(ISNUMBER(F369),ISNUMBER(J369)),ROUND(F369*J369,0),IF(ISNUMBER(I369),I369,""))</f>
        <v/>
      </c>
      <c r="L369" s="33" t="n"/>
      <c r="M369" s="34">
        <f>IF(COUNTA(A369:B369,D369:I369,L369)=0,"",IF(B369="","案件番号がありません",IF(ISNA(MATCH(B369,'案件'!$A$6:$A$105,0)),"案件シートに無い番号です",IF(NOT(OR(D369="材料費",D369="労務費",D369="外注費",D369="経費")),"費目を4つから選んでください",IF(K369="",IF(AND(ISNUMBER(F369),NOT(ISNUMBER(J369))),IF(D369="労務費","単価がありません（設定の作業者名と同じ書き方に）","単価がありません"),IF(AND(ISNUMBER(J369),NOT(ISNUMBER(F369))),"数量がありません","金額がありません")),IF(NOT(ISNUMBER(A369)),"日付がありません（月別集計に入りません）",IF(AND(ISNUMBER(F369),ISNUMBER(J369),ISNUMBER(I369)),"数量×単価を使いました（金額の欄は使っていません）","")))))))</f>
        <v/>
      </c>
      <c r="N369" s="91">
        <f>IF(AND(B369&lt;&gt;"",B369='案件カード'!$C$3),COUNTIF($B$5:B369,'案件カード'!$C$3),"")</f>
        <v/>
      </c>
      <c r="O369" s="91">
        <f>IF(ISNUMBER(K369),IF(B369="",K369,IF(AND(ISNUMBER(MATCH(B369,'案件'!$A$6:$A$105,0)),OR(D369="材料費",D369="労務費",D369="外注費",D369="経費")),0,K369)),0)</f>
        <v/>
      </c>
    </row>
    <row r="370" ht="16" customHeight="1">
      <c r="A370" s="35" t="n"/>
      <c r="B370" s="36" t="n"/>
      <c r="C370" s="37">
        <f>IF(B370="","",IFERROR(INDEX('案件'!$B$6:$B$105,MATCH(B370,'案件'!$A$6:$A$105,0))&amp;"","（案件シートに無い番号）"))</f>
        <v/>
      </c>
      <c r="D370" s="36" t="n"/>
      <c r="E370" s="38" t="n"/>
      <c r="F370" s="39" t="n"/>
      <c r="G370" s="36" t="n"/>
      <c r="H370" s="40" t="n"/>
      <c r="I370" s="40" t="n"/>
      <c r="J370" s="41">
        <f>IF(ISNUMBER(H370),H370,IF(AND(D370="労務費",TRIM(E370)&lt;&gt;""),IFERROR(INDEX('設定'!$G$12:$G$31,MATCH(TRIM(E370),'設定'!$J$12:$J$31,0)),""),""))</f>
        <v/>
      </c>
      <c r="K370" s="30">
        <f>IF(AND(ISNUMBER(F370),ISNUMBER(J370)),ROUND(F370*J370,0),IF(ISNUMBER(I370),I370,""))</f>
        <v/>
      </c>
      <c r="L370" s="33" t="n"/>
      <c r="M370" s="34">
        <f>IF(COUNTA(A370:B370,D370:I370,L370)=0,"",IF(B370="","案件番号がありません",IF(ISNA(MATCH(B370,'案件'!$A$6:$A$105,0)),"案件シートに無い番号です",IF(NOT(OR(D370="材料費",D370="労務費",D370="外注費",D370="経費")),"費目を4つから選んでください",IF(K370="",IF(AND(ISNUMBER(F370),NOT(ISNUMBER(J370))),IF(D370="労務費","単価がありません（設定の作業者名と同じ書き方に）","単価がありません"),IF(AND(ISNUMBER(J370),NOT(ISNUMBER(F370))),"数量がありません","金額がありません")),IF(NOT(ISNUMBER(A370)),"日付がありません（月別集計に入りません）",IF(AND(ISNUMBER(F370),ISNUMBER(J370),ISNUMBER(I370)),"数量×単価を使いました（金額の欄は使っていません）","")))))))</f>
        <v/>
      </c>
      <c r="N370" s="91">
        <f>IF(AND(B370&lt;&gt;"",B370='案件カード'!$C$3),COUNTIF($B$5:B370,'案件カード'!$C$3),"")</f>
        <v/>
      </c>
      <c r="O370" s="91">
        <f>IF(ISNUMBER(K370),IF(B370="",K370,IF(AND(ISNUMBER(MATCH(B370,'案件'!$A$6:$A$105,0)),OR(D370="材料費",D370="労務費",D370="外注費",D370="経費")),0,K370)),0)</f>
        <v/>
      </c>
    </row>
    <row r="371" ht="16" customHeight="1">
      <c r="A371" s="35" t="n"/>
      <c r="B371" s="36" t="n"/>
      <c r="C371" s="37">
        <f>IF(B371="","",IFERROR(INDEX('案件'!$B$6:$B$105,MATCH(B371,'案件'!$A$6:$A$105,0))&amp;"","（案件シートに無い番号）"))</f>
        <v/>
      </c>
      <c r="D371" s="36" t="n"/>
      <c r="E371" s="38" t="n"/>
      <c r="F371" s="39" t="n"/>
      <c r="G371" s="36" t="n"/>
      <c r="H371" s="40" t="n"/>
      <c r="I371" s="40" t="n"/>
      <c r="J371" s="41">
        <f>IF(ISNUMBER(H371),H371,IF(AND(D371="労務費",TRIM(E371)&lt;&gt;""),IFERROR(INDEX('設定'!$G$12:$G$31,MATCH(TRIM(E371),'設定'!$J$12:$J$31,0)),""),""))</f>
        <v/>
      </c>
      <c r="K371" s="30">
        <f>IF(AND(ISNUMBER(F371),ISNUMBER(J371)),ROUND(F371*J371,0),IF(ISNUMBER(I371),I371,""))</f>
        <v/>
      </c>
      <c r="L371" s="33" t="n"/>
      <c r="M371" s="34">
        <f>IF(COUNTA(A371:B371,D371:I371,L371)=0,"",IF(B371="","案件番号がありません",IF(ISNA(MATCH(B371,'案件'!$A$6:$A$105,0)),"案件シートに無い番号です",IF(NOT(OR(D371="材料費",D371="労務費",D371="外注費",D371="経費")),"費目を4つから選んでください",IF(K371="",IF(AND(ISNUMBER(F371),NOT(ISNUMBER(J371))),IF(D371="労務費","単価がありません（設定の作業者名と同じ書き方に）","単価がありません"),IF(AND(ISNUMBER(J371),NOT(ISNUMBER(F371))),"数量がありません","金額がありません")),IF(NOT(ISNUMBER(A371)),"日付がありません（月別集計に入りません）",IF(AND(ISNUMBER(F371),ISNUMBER(J371),ISNUMBER(I371)),"数量×単価を使いました（金額の欄は使っていません）","")))))))</f>
        <v/>
      </c>
      <c r="N371" s="91">
        <f>IF(AND(B371&lt;&gt;"",B371='案件カード'!$C$3),COUNTIF($B$5:B371,'案件カード'!$C$3),"")</f>
        <v/>
      </c>
      <c r="O371" s="91">
        <f>IF(ISNUMBER(K371),IF(B371="",K371,IF(AND(ISNUMBER(MATCH(B371,'案件'!$A$6:$A$105,0)),OR(D371="材料費",D371="労務費",D371="外注費",D371="経費")),0,K371)),0)</f>
        <v/>
      </c>
    </row>
    <row r="372" ht="16" customHeight="1">
      <c r="A372" s="35" t="n"/>
      <c r="B372" s="36" t="n"/>
      <c r="C372" s="37">
        <f>IF(B372="","",IFERROR(INDEX('案件'!$B$6:$B$105,MATCH(B372,'案件'!$A$6:$A$105,0))&amp;"","（案件シートに無い番号）"))</f>
        <v/>
      </c>
      <c r="D372" s="36" t="n"/>
      <c r="E372" s="38" t="n"/>
      <c r="F372" s="39" t="n"/>
      <c r="G372" s="36" t="n"/>
      <c r="H372" s="40" t="n"/>
      <c r="I372" s="40" t="n"/>
      <c r="J372" s="41">
        <f>IF(ISNUMBER(H372),H372,IF(AND(D372="労務費",TRIM(E372)&lt;&gt;""),IFERROR(INDEX('設定'!$G$12:$G$31,MATCH(TRIM(E372),'設定'!$J$12:$J$31,0)),""),""))</f>
        <v/>
      </c>
      <c r="K372" s="30">
        <f>IF(AND(ISNUMBER(F372),ISNUMBER(J372)),ROUND(F372*J372,0),IF(ISNUMBER(I372),I372,""))</f>
        <v/>
      </c>
      <c r="L372" s="33" t="n"/>
      <c r="M372" s="34">
        <f>IF(COUNTA(A372:B372,D372:I372,L372)=0,"",IF(B372="","案件番号がありません",IF(ISNA(MATCH(B372,'案件'!$A$6:$A$105,0)),"案件シートに無い番号です",IF(NOT(OR(D372="材料費",D372="労務費",D372="外注費",D372="経費")),"費目を4つから選んでください",IF(K372="",IF(AND(ISNUMBER(F372),NOT(ISNUMBER(J372))),IF(D372="労務費","単価がありません（設定の作業者名と同じ書き方に）","単価がありません"),IF(AND(ISNUMBER(J372),NOT(ISNUMBER(F372))),"数量がありません","金額がありません")),IF(NOT(ISNUMBER(A372)),"日付がありません（月別集計に入りません）",IF(AND(ISNUMBER(F372),ISNUMBER(J372),ISNUMBER(I372)),"数量×単価を使いました（金額の欄は使っていません）","")))))))</f>
        <v/>
      </c>
      <c r="N372" s="91">
        <f>IF(AND(B372&lt;&gt;"",B372='案件カード'!$C$3),COUNTIF($B$5:B372,'案件カード'!$C$3),"")</f>
        <v/>
      </c>
      <c r="O372" s="91">
        <f>IF(ISNUMBER(K372),IF(B372="",K372,IF(AND(ISNUMBER(MATCH(B372,'案件'!$A$6:$A$105,0)),OR(D372="材料費",D372="労務費",D372="外注費",D372="経費")),0,K372)),0)</f>
        <v/>
      </c>
    </row>
    <row r="373" ht="16" customHeight="1">
      <c r="A373" s="35" t="n"/>
      <c r="B373" s="36" t="n"/>
      <c r="C373" s="37">
        <f>IF(B373="","",IFERROR(INDEX('案件'!$B$6:$B$105,MATCH(B373,'案件'!$A$6:$A$105,0))&amp;"","（案件シートに無い番号）"))</f>
        <v/>
      </c>
      <c r="D373" s="36" t="n"/>
      <c r="E373" s="38" t="n"/>
      <c r="F373" s="39" t="n"/>
      <c r="G373" s="36" t="n"/>
      <c r="H373" s="40" t="n"/>
      <c r="I373" s="40" t="n"/>
      <c r="J373" s="41">
        <f>IF(ISNUMBER(H373),H373,IF(AND(D373="労務費",TRIM(E373)&lt;&gt;""),IFERROR(INDEX('設定'!$G$12:$G$31,MATCH(TRIM(E373),'設定'!$J$12:$J$31,0)),""),""))</f>
        <v/>
      </c>
      <c r="K373" s="30">
        <f>IF(AND(ISNUMBER(F373),ISNUMBER(J373)),ROUND(F373*J373,0),IF(ISNUMBER(I373),I373,""))</f>
        <v/>
      </c>
      <c r="L373" s="33" t="n"/>
      <c r="M373" s="34">
        <f>IF(COUNTA(A373:B373,D373:I373,L373)=0,"",IF(B373="","案件番号がありません",IF(ISNA(MATCH(B373,'案件'!$A$6:$A$105,0)),"案件シートに無い番号です",IF(NOT(OR(D373="材料費",D373="労務費",D373="外注費",D373="経費")),"費目を4つから選んでください",IF(K373="",IF(AND(ISNUMBER(F373),NOT(ISNUMBER(J373))),IF(D373="労務費","単価がありません（設定の作業者名と同じ書き方に）","単価がありません"),IF(AND(ISNUMBER(J373),NOT(ISNUMBER(F373))),"数量がありません","金額がありません")),IF(NOT(ISNUMBER(A373)),"日付がありません（月別集計に入りません）",IF(AND(ISNUMBER(F373),ISNUMBER(J373),ISNUMBER(I373)),"数量×単価を使いました（金額の欄は使っていません）","")))))))</f>
        <v/>
      </c>
      <c r="N373" s="91">
        <f>IF(AND(B373&lt;&gt;"",B373='案件カード'!$C$3),COUNTIF($B$5:B373,'案件カード'!$C$3),"")</f>
        <v/>
      </c>
      <c r="O373" s="91">
        <f>IF(ISNUMBER(K373),IF(B373="",K373,IF(AND(ISNUMBER(MATCH(B373,'案件'!$A$6:$A$105,0)),OR(D373="材料費",D373="労務費",D373="外注費",D373="経費")),0,K373)),0)</f>
        <v/>
      </c>
    </row>
    <row r="374" ht="16" customHeight="1">
      <c r="A374" s="35" t="n"/>
      <c r="B374" s="36" t="n"/>
      <c r="C374" s="37">
        <f>IF(B374="","",IFERROR(INDEX('案件'!$B$6:$B$105,MATCH(B374,'案件'!$A$6:$A$105,0))&amp;"","（案件シートに無い番号）"))</f>
        <v/>
      </c>
      <c r="D374" s="36" t="n"/>
      <c r="E374" s="38" t="n"/>
      <c r="F374" s="39" t="n"/>
      <c r="G374" s="36" t="n"/>
      <c r="H374" s="40" t="n"/>
      <c r="I374" s="40" t="n"/>
      <c r="J374" s="41">
        <f>IF(ISNUMBER(H374),H374,IF(AND(D374="労務費",TRIM(E374)&lt;&gt;""),IFERROR(INDEX('設定'!$G$12:$G$31,MATCH(TRIM(E374),'設定'!$J$12:$J$31,0)),""),""))</f>
        <v/>
      </c>
      <c r="K374" s="30">
        <f>IF(AND(ISNUMBER(F374),ISNUMBER(J374)),ROUND(F374*J374,0),IF(ISNUMBER(I374),I374,""))</f>
        <v/>
      </c>
      <c r="L374" s="33" t="n"/>
      <c r="M374" s="34">
        <f>IF(COUNTA(A374:B374,D374:I374,L374)=0,"",IF(B374="","案件番号がありません",IF(ISNA(MATCH(B374,'案件'!$A$6:$A$105,0)),"案件シートに無い番号です",IF(NOT(OR(D374="材料費",D374="労務費",D374="外注費",D374="経費")),"費目を4つから選んでください",IF(K374="",IF(AND(ISNUMBER(F374),NOT(ISNUMBER(J374))),IF(D374="労務費","単価がありません（設定の作業者名と同じ書き方に）","単価がありません"),IF(AND(ISNUMBER(J374),NOT(ISNUMBER(F374))),"数量がありません","金額がありません")),IF(NOT(ISNUMBER(A374)),"日付がありません（月別集計に入りません）",IF(AND(ISNUMBER(F374),ISNUMBER(J374),ISNUMBER(I374)),"数量×単価を使いました（金額の欄は使っていません）","")))))))</f>
        <v/>
      </c>
      <c r="N374" s="91">
        <f>IF(AND(B374&lt;&gt;"",B374='案件カード'!$C$3),COUNTIF($B$5:B374,'案件カード'!$C$3),"")</f>
        <v/>
      </c>
      <c r="O374" s="91">
        <f>IF(ISNUMBER(K374),IF(B374="",K374,IF(AND(ISNUMBER(MATCH(B374,'案件'!$A$6:$A$105,0)),OR(D374="材料費",D374="労務費",D374="外注費",D374="経費")),0,K374)),0)</f>
        <v/>
      </c>
    </row>
    <row r="375" ht="16" customHeight="1">
      <c r="A375" s="35" t="n"/>
      <c r="B375" s="36" t="n"/>
      <c r="C375" s="37">
        <f>IF(B375="","",IFERROR(INDEX('案件'!$B$6:$B$105,MATCH(B375,'案件'!$A$6:$A$105,0))&amp;"","（案件シートに無い番号）"))</f>
        <v/>
      </c>
      <c r="D375" s="36" t="n"/>
      <c r="E375" s="38" t="n"/>
      <c r="F375" s="39" t="n"/>
      <c r="G375" s="36" t="n"/>
      <c r="H375" s="40" t="n"/>
      <c r="I375" s="40" t="n"/>
      <c r="J375" s="41">
        <f>IF(ISNUMBER(H375),H375,IF(AND(D375="労務費",TRIM(E375)&lt;&gt;""),IFERROR(INDEX('設定'!$G$12:$G$31,MATCH(TRIM(E375),'設定'!$J$12:$J$31,0)),""),""))</f>
        <v/>
      </c>
      <c r="K375" s="30">
        <f>IF(AND(ISNUMBER(F375),ISNUMBER(J375)),ROUND(F375*J375,0),IF(ISNUMBER(I375),I375,""))</f>
        <v/>
      </c>
      <c r="L375" s="33" t="n"/>
      <c r="M375" s="34">
        <f>IF(COUNTA(A375:B375,D375:I375,L375)=0,"",IF(B375="","案件番号がありません",IF(ISNA(MATCH(B375,'案件'!$A$6:$A$105,0)),"案件シートに無い番号です",IF(NOT(OR(D375="材料費",D375="労務費",D375="外注費",D375="経費")),"費目を4つから選んでください",IF(K375="",IF(AND(ISNUMBER(F375),NOT(ISNUMBER(J375))),IF(D375="労務費","単価がありません（設定の作業者名と同じ書き方に）","単価がありません"),IF(AND(ISNUMBER(J375),NOT(ISNUMBER(F375))),"数量がありません","金額がありません")),IF(NOT(ISNUMBER(A375)),"日付がありません（月別集計に入りません）",IF(AND(ISNUMBER(F375),ISNUMBER(J375),ISNUMBER(I375)),"数量×単価を使いました（金額の欄は使っていません）","")))))))</f>
        <v/>
      </c>
      <c r="N375" s="91">
        <f>IF(AND(B375&lt;&gt;"",B375='案件カード'!$C$3),COUNTIF($B$5:B375,'案件カード'!$C$3),"")</f>
        <v/>
      </c>
      <c r="O375" s="91">
        <f>IF(ISNUMBER(K375),IF(B375="",K375,IF(AND(ISNUMBER(MATCH(B375,'案件'!$A$6:$A$105,0)),OR(D375="材料費",D375="労務費",D375="外注費",D375="経費")),0,K375)),0)</f>
        <v/>
      </c>
    </row>
    <row r="376" ht="16" customHeight="1">
      <c r="A376" s="35" t="n"/>
      <c r="B376" s="36" t="n"/>
      <c r="C376" s="37">
        <f>IF(B376="","",IFERROR(INDEX('案件'!$B$6:$B$105,MATCH(B376,'案件'!$A$6:$A$105,0))&amp;"","（案件シートに無い番号）"))</f>
        <v/>
      </c>
      <c r="D376" s="36" t="n"/>
      <c r="E376" s="38" t="n"/>
      <c r="F376" s="39" t="n"/>
      <c r="G376" s="36" t="n"/>
      <c r="H376" s="40" t="n"/>
      <c r="I376" s="40" t="n"/>
      <c r="J376" s="41">
        <f>IF(ISNUMBER(H376),H376,IF(AND(D376="労務費",TRIM(E376)&lt;&gt;""),IFERROR(INDEX('設定'!$G$12:$G$31,MATCH(TRIM(E376),'設定'!$J$12:$J$31,0)),""),""))</f>
        <v/>
      </c>
      <c r="K376" s="30">
        <f>IF(AND(ISNUMBER(F376),ISNUMBER(J376)),ROUND(F376*J376,0),IF(ISNUMBER(I376),I376,""))</f>
        <v/>
      </c>
      <c r="L376" s="33" t="n"/>
      <c r="M376" s="34">
        <f>IF(COUNTA(A376:B376,D376:I376,L376)=0,"",IF(B376="","案件番号がありません",IF(ISNA(MATCH(B376,'案件'!$A$6:$A$105,0)),"案件シートに無い番号です",IF(NOT(OR(D376="材料費",D376="労務費",D376="外注費",D376="経費")),"費目を4つから選んでください",IF(K376="",IF(AND(ISNUMBER(F376),NOT(ISNUMBER(J376))),IF(D376="労務費","単価がありません（設定の作業者名と同じ書き方に）","単価がありません"),IF(AND(ISNUMBER(J376),NOT(ISNUMBER(F376))),"数量がありません","金額がありません")),IF(NOT(ISNUMBER(A376)),"日付がありません（月別集計に入りません）",IF(AND(ISNUMBER(F376),ISNUMBER(J376),ISNUMBER(I376)),"数量×単価を使いました（金額の欄は使っていません）","")))))))</f>
        <v/>
      </c>
      <c r="N376" s="91">
        <f>IF(AND(B376&lt;&gt;"",B376='案件カード'!$C$3),COUNTIF($B$5:B376,'案件カード'!$C$3),"")</f>
        <v/>
      </c>
      <c r="O376" s="91">
        <f>IF(ISNUMBER(K376),IF(B376="",K376,IF(AND(ISNUMBER(MATCH(B376,'案件'!$A$6:$A$105,0)),OR(D376="材料費",D376="労務費",D376="外注費",D376="経費")),0,K376)),0)</f>
        <v/>
      </c>
    </row>
    <row r="377" ht="16" customHeight="1">
      <c r="A377" s="35" t="n"/>
      <c r="B377" s="36" t="n"/>
      <c r="C377" s="37">
        <f>IF(B377="","",IFERROR(INDEX('案件'!$B$6:$B$105,MATCH(B377,'案件'!$A$6:$A$105,0))&amp;"","（案件シートに無い番号）"))</f>
        <v/>
      </c>
      <c r="D377" s="36" t="n"/>
      <c r="E377" s="38" t="n"/>
      <c r="F377" s="39" t="n"/>
      <c r="G377" s="36" t="n"/>
      <c r="H377" s="40" t="n"/>
      <c r="I377" s="40" t="n"/>
      <c r="J377" s="41">
        <f>IF(ISNUMBER(H377),H377,IF(AND(D377="労務費",TRIM(E377)&lt;&gt;""),IFERROR(INDEX('設定'!$G$12:$G$31,MATCH(TRIM(E377),'設定'!$J$12:$J$31,0)),""),""))</f>
        <v/>
      </c>
      <c r="K377" s="30">
        <f>IF(AND(ISNUMBER(F377),ISNUMBER(J377)),ROUND(F377*J377,0),IF(ISNUMBER(I377),I377,""))</f>
        <v/>
      </c>
      <c r="L377" s="33" t="n"/>
      <c r="M377" s="34">
        <f>IF(COUNTA(A377:B377,D377:I377,L377)=0,"",IF(B377="","案件番号がありません",IF(ISNA(MATCH(B377,'案件'!$A$6:$A$105,0)),"案件シートに無い番号です",IF(NOT(OR(D377="材料費",D377="労務費",D377="外注費",D377="経費")),"費目を4つから選んでください",IF(K377="",IF(AND(ISNUMBER(F377),NOT(ISNUMBER(J377))),IF(D377="労務費","単価がありません（設定の作業者名と同じ書き方に）","単価がありません"),IF(AND(ISNUMBER(J377),NOT(ISNUMBER(F377))),"数量がありません","金額がありません")),IF(NOT(ISNUMBER(A377)),"日付がありません（月別集計に入りません）",IF(AND(ISNUMBER(F377),ISNUMBER(J377),ISNUMBER(I377)),"数量×単価を使いました（金額の欄は使っていません）","")))))))</f>
        <v/>
      </c>
      <c r="N377" s="91">
        <f>IF(AND(B377&lt;&gt;"",B377='案件カード'!$C$3),COUNTIF($B$5:B377,'案件カード'!$C$3),"")</f>
        <v/>
      </c>
      <c r="O377" s="91">
        <f>IF(ISNUMBER(K377),IF(B377="",K377,IF(AND(ISNUMBER(MATCH(B377,'案件'!$A$6:$A$105,0)),OR(D377="材料費",D377="労務費",D377="外注費",D377="経費")),0,K377)),0)</f>
        <v/>
      </c>
    </row>
    <row r="378" ht="16" customHeight="1">
      <c r="A378" s="35" t="n"/>
      <c r="B378" s="36" t="n"/>
      <c r="C378" s="37">
        <f>IF(B378="","",IFERROR(INDEX('案件'!$B$6:$B$105,MATCH(B378,'案件'!$A$6:$A$105,0))&amp;"","（案件シートに無い番号）"))</f>
        <v/>
      </c>
      <c r="D378" s="36" t="n"/>
      <c r="E378" s="38" t="n"/>
      <c r="F378" s="39" t="n"/>
      <c r="G378" s="36" t="n"/>
      <c r="H378" s="40" t="n"/>
      <c r="I378" s="40" t="n"/>
      <c r="J378" s="41">
        <f>IF(ISNUMBER(H378),H378,IF(AND(D378="労務費",TRIM(E378)&lt;&gt;""),IFERROR(INDEX('設定'!$G$12:$G$31,MATCH(TRIM(E378),'設定'!$J$12:$J$31,0)),""),""))</f>
        <v/>
      </c>
      <c r="K378" s="30">
        <f>IF(AND(ISNUMBER(F378),ISNUMBER(J378)),ROUND(F378*J378,0),IF(ISNUMBER(I378),I378,""))</f>
        <v/>
      </c>
      <c r="L378" s="33" t="n"/>
      <c r="M378" s="34">
        <f>IF(COUNTA(A378:B378,D378:I378,L378)=0,"",IF(B378="","案件番号がありません",IF(ISNA(MATCH(B378,'案件'!$A$6:$A$105,0)),"案件シートに無い番号です",IF(NOT(OR(D378="材料費",D378="労務費",D378="外注費",D378="経費")),"費目を4つから選んでください",IF(K378="",IF(AND(ISNUMBER(F378),NOT(ISNUMBER(J378))),IF(D378="労務費","単価がありません（設定の作業者名と同じ書き方に）","単価がありません"),IF(AND(ISNUMBER(J378),NOT(ISNUMBER(F378))),"数量がありません","金額がありません")),IF(NOT(ISNUMBER(A378)),"日付がありません（月別集計に入りません）",IF(AND(ISNUMBER(F378),ISNUMBER(J378),ISNUMBER(I378)),"数量×単価を使いました（金額の欄は使っていません）","")))))))</f>
        <v/>
      </c>
      <c r="N378" s="91">
        <f>IF(AND(B378&lt;&gt;"",B378='案件カード'!$C$3),COUNTIF($B$5:B378,'案件カード'!$C$3),"")</f>
        <v/>
      </c>
      <c r="O378" s="91">
        <f>IF(ISNUMBER(K378),IF(B378="",K378,IF(AND(ISNUMBER(MATCH(B378,'案件'!$A$6:$A$105,0)),OR(D378="材料費",D378="労務費",D378="外注費",D378="経費")),0,K378)),0)</f>
        <v/>
      </c>
    </row>
    <row r="379" ht="16" customHeight="1">
      <c r="A379" s="35" t="n"/>
      <c r="B379" s="36" t="n"/>
      <c r="C379" s="37">
        <f>IF(B379="","",IFERROR(INDEX('案件'!$B$6:$B$105,MATCH(B379,'案件'!$A$6:$A$105,0))&amp;"","（案件シートに無い番号）"))</f>
        <v/>
      </c>
      <c r="D379" s="36" t="n"/>
      <c r="E379" s="38" t="n"/>
      <c r="F379" s="39" t="n"/>
      <c r="G379" s="36" t="n"/>
      <c r="H379" s="40" t="n"/>
      <c r="I379" s="40" t="n"/>
      <c r="J379" s="41">
        <f>IF(ISNUMBER(H379),H379,IF(AND(D379="労務費",TRIM(E379)&lt;&gt;""),IFERROR(INDEX('設定'!$G$12:$G$31,MATCH(TRIM(E379),'設定'!$J$12:$J$31,0)),""),""))</f>
        <v/>
      </c>
      <c r="K379" s="30">
        <f>IF(AND(ISNUMBER(F379),ISNUMBER(J379)),ROUND(F379*J379,0),IF(ISNUMBER(I379),I379,""))</f>
        <v/>
      </c>
      <c r="L379" s="33" t="n"/>
      <c r="M379" s="34">
        <f>IF(COUNTA(A379:B379,D379:I379,L379)=0,"",IF(B379="","案件番号がありません",IF(ISNA(MATCH(B379,'案件'!$A$6:$A$105,0)),"案件シートに無い番号です",IF(NOT(OR(D379="材料費",D379="労務費",D379="外注費",D379="経費")),"費目を4つから選んでください",IF(K379="",IF(AND(ISNUMBER(F379),NOT(ISNUMBER(J379))),IF(D379="労務費","単価がありません（設定の作業者名と同じ書き方に）","単価がありません"),IF(AND(ISNUMBER(J379),NOT(ISNUMBER(F379))),"数量がありません","金額がありません")),IF(NOT(ISNUMBER(A379)),"日付がありません（月別集計に入りません）",IF(AND(ISNUMBER(F379),ISNUMBER(J379),ISNUMBER(I379)),"数量×単価を使いました（金額の欄は使っていません）","")))))))</f>
        <v/>
      </c>
      <c r="N379" s="91">
        <f>IF(AND(B379&lt;&gt;"",B379='案件カード'!$C$3),COUNTIF($B$5:B379,'案件カード'!$C$3),"")</f>
        <v/>
      </c>
      <c r="O379" s="91">
        <f>IF(ISNUMBER(K379),IF(B379="",K379,IF(AND(ISNUMBER(MATCH(B379,'案件'!$A$6:$A$105,0)),OR(D379="材料費",D379="労務費",D379="外注費",D379="経費")),0,K379)),0)</f>
        <v/>
      </c>
    </row>
    <row r="380" ht="16" customHeight="1">
      <c r="A380" s="35" t="n"/>
      <c r="B380" s="36" t="n"/>
      <c r="C380" s="37">
        <f>IF(B380="","",IFERROR(INDEX('案件'!$B$6:$B$105,MATCH(B380,'案件'!$A$6:$A$105,0))&amp;"","（案件シートに無い番号）"))</f>
        <v/>
      </c>
      <c r="D380" s="36" t="n"/>
      <c r="E380" s="38" t="n"/>
      <c r="F380" s="39" t="n"/>
      <c r="G380" s="36" t="n"/>
      <c r="H380" s="40" t="n"/>
      <c r="I380" s="40" t="n"/>
      <c r="J380" s="41">
        <f>IF(ISNUMBER(H380),H380,IF(AND(D380="労務費",TRIM(E380)&lt;&gt;""),IFERROR(INDEX('設定'!$G$12:$G$31,MATCH(TRIM(E380),'設定'!$J$12:$J$31,0)),""),""))</f>
        <v/>
      </c>
      <c r="K380" s="30">
        <f>IF(AND(ISNUMBER(F380),ISNUMBER(J380)),ROUND(F380*J380,0),IF(ISNUMBER(I380),I380,""))</f>
        <v/>
      </c>
      <c r="L380" s="33" t="n"/>
      <c r="M380" s="34">
        <f>IF(COUNTA(A380:B380,D380:I380,L380)=0,"",IF(B380="","案件番号がありません",IF(ISNA(MATCH(B380,'案件'!$A$6:$A$105,0)),"案件シートに無い番号です",IF(NOT(OR(D380="材料費",D380="労務費",D380="外注費",D380="経費")),"費目を4つから選んでください",IF(K380="",IF(AND(ISNUMBER(F380),NOT(ISNUMBER(J380))),IF(D380="労務費","単価がありません（設定の作業者名と同じ書き方に）","単価がありません"),IF(AND(ISNUMBER(J380),NOT(ISNUMBER(F380))),"数量がありません","金額がありません")),IF(NOT(ISNUMBER(A380)),"日付がありません（月別集計に入りません）",IF(AND(ISNUMBER(F380),ISNUMBER(J380),ISNUMBER(I380)),"数量×単価を使いました（金額の欄は使っていません）","")))))))</f>
        <v/>
      </c>
      <c r="N380" s="91">
        <f>IF(AND(B380&lt;&gt;"",B380='案件カード'!$C$3),COUNTIF($B$5:B380,'案件カード'!$C$3),"")</f>
        <v/>
      </c>
      <c r="O380" s="91">
        <f>IF(ISNUMBER(K380),IF(B380="",K380,IF(AND(ISNUMBER(MATCH(B380,'案件'!$A$6:$A$105,0)),OR(D380="材料費",D380="労務費",D380="外注費",D380="経費")),0,K380)),0)</f>
        <v/>
      </c>
    </row>
    <row r="381" ht="16" customHeight="1">
      <c r="A381" s="35" t="n"/>
      <c r="B381" s="36" t="n"/>
      <c r="C381" s="37">
        <f>IF(B381="","",IFERROR(INDEX('案件'!$B$6:$B$105,MATCH(B381,'案件'!$A$6:$A$105,0))&amp;"","（案件シートに無い番号）"))</f>
        <v/>
      </c>
      <c r="D381" s="36" t="n"/>
      <c r="E381" s="38" t="n"/>
      <c r="F381" s="39" t="n"/>
      <c r="G381" s="36" t="n"/>
      <c r="H381" s="40" t="n"/>
      <c r="I381" s="40" t="n"/>
      <c r="J381" s="41">
        <f>IF(ISNUMBER(H381),H381,IF(AND(D381="労務費",TRIM(E381)&lt;&gt;""),IFERROR(INDEX('設定'!$G$12:$G$31,MATCH(TRIM(E381),'設定'!$J$12:$J$31,0)),""),""))</f>
        <v/>
      </c>
      <c r="K381" s="30">
        <f>IF(AND(ISNUMBER(F381),ISNUMBER(J381)),ROUND(F381*J381,0),IF(ISNUMBER(I381),I381,""))</f>
        <v/>
      </c>
      <c r="L381" s="33" t="n"/>
      <c r="M381" s="34">
        <f>IF(COUNTA(A381:B381,D381:I381,L381)=0,"",IF(B381="","案件番号がありません",IF(ISNA(MATCH(B381,'案件'!$A$6:$A$105,0)),"案件シートに無い番号です",IF(NOT(OR(D381="材料費",D381="労務費",D381="外注費",D381="経費")),"費目を4つから選んでください",IF(K381="",IF(AND(ISNUMBER(F381),NOT(ISNUMBER(J381))),IF(D381="労務費","単価がありません（設定の作業者名と同じ書き方に）","単価がありません"),IF(AND(ISNUMBER(J381),NOT(ISNUMBER(F381))),"数量がありません","金額がありません")),IF(NOT(ISNUMBER(A381)),"日付がありません（月別集計に入りません）",IF(AND(ISNUMBER(F381),ISNUMBER(J381),ISNUMBER(I381)),"数量×単価を使いました（金額の欄は使っていません）","")))))))</f>
        <v/>
      </c>
      <c r="N381" s="91">
        <f>IF(AND(B381&lt;&gt;"",B381='案件カード'!$C$3),COUNTIF($B$5:B381,'案件カード'!$C$3),"")</f>
        <v/>
      </c>
      <c r="O381" s="91">
        <f>IF(ISNUMBER(K381),IF(B381="",K381,IF(AND(ISNUMBER(MATCH(B381,'案件'!$A$6:$A$105,0)),OR(D381="材料費",D381="労務費",D381="外注費",D381="経費")),0,K381)),0)</f>
        <v/>
      </c>
    </row>
    <row r="382" ht="16" customHeight="1">
      <c r="A382" s="35" t="n"/>
      <c r="B382" s="36" t="n"/>
      <c r="C382" s="37">
        <f>IF(B382="","",IFERROR(INDEX('案件'!$B$6:$B$105,MATCH(B382,'案件'!$A$6:$A$105,0))&amp;"","（案件シートに無い番号）"))</f>
        <v/>
      </c>
      <c r="D382" s="36" t="n"/>
      <c r="E382" s="38" t="n"/>
      <c r="F382" s="39" t="n"/>
      <c r="G382" s="36" t="n"/>
      <c r="H382" s="40" t="n"/>
      <c r="I382" s="40" t="n"/>
      <c r="J382" s="41">
        <f>IF(ISNUMBER(H382),H382,IF(AND(D382="労務費",TRIM(E382)&lt;&gt;""),IFERROR(INDEX('設定'!$G$12:$G$31,MATCH(TRIM(E382),'設定'!$J$12:$J$31,0)),""),""))</f>
        <v/>
      </c>
      <c r="K382" s="30">
        <f>IF(AND(ISNUMBER(F382),ISNUMBER(J382)),ROUND(F382*J382,0),IF(ISNUMBER(I382),I382,""))</f>
        <v/>
      </c>
      <c r="L382" s="33" t="n"/>
      <c r="M382" s="34">
        <f>IF(COUNTA(A382:B382,D382:I382,L382)=0,"",IF(B382="","案件番号がありません",IF(ISNA(MATCH(B382,'案件'!$A$6:$A$105,0)),"案件シートに無い番号です",IF(NOT(OR(D382="材料費",D382="労務費",D382="外注費",D382="経費")),"費目を4つから選んでください",IF(K382="",IF(AND(ISNUMBER(F382),NOT(ISNUMBER(J382))),IF(D382="労務費","単価がありません（設定の作業者名と同じ書き方に）","単価がありません"),IF(AND(ISNUMBER(J382),NOT(ISNUMBER(F382))),"数量がありません","金額がありません")),IF(NOT(ISNUMBER(A382)),"日付がありません（月別集計に入りません）",IF(AND(ISNUMBER(F382),ISNUMBER(J382),ISNUMBER(I382)),"数量×単価を使いました（金額の欄は使っていません）","")))))))</f>
        <v/>
      </c>
      <c r="N382" s="91">
        <f>IF(AND(B382&lt;&gt;"",B382='案件カード'!$C$3),COUNTIF($B$5:B382,'案件カード'!$C$3),"")</f>
        <v/>
      </c>
      <c r="O382" s="91">
        <f>IF(ISNUMBER(K382),IF(B382="",K382,IF(AND(ISNUMBER(MATCH(B382,'案件'!$A$6:$A$105,0)),OR(D382="材料費",D382="労務費",D382="外注費",D382="経費")),0,K382)),0)</f>
        <v/>
      </c>
    </row>
    <row r="383" ht="16" customHeight="1">
      <c r="A383" s="35" t="n"/>
      <c r="B383" s="36" t="n"/>
      <c r="C383" s="37">
        <f>IF(B383="","",IFERROR(INDEX('案件'!$B$6:$B$105,MATCH(B383,'案件'!$A$6:$A$105,0))&amp;"","（案件シートに無い番号）"))</f>
        <v/>
      </c>
      <c r="D383" s="36" t="n"/>
      <c r="E383" s="38" t="n"/>
      <c r="F383" s="39" t="n"/>
      <c r="G383" s="36" t="n"/>
      <c r="H383" s="40" t="n"/>
      <c r="I383" s="40" t="n"/>
      <c r="J383" s="41">
        <f>IF(ISNUMBER(H383),H383,IF(AND(D383="労務費",TRIM(E383)&lt;&gt;""),IFERROR(INDEX('設定'!$G$12:$G$31,MATCH(TRIM(E383),'設定'!$J$12:$J$31,0)),""),""))</f>
        <v/>
      </c>
      <c r="K383" s="30">
        <f>IF(AND(ISNUMBER(F383),ISNUMBER(J383)),ROUND(F383*J383,0),IF(ISNUMBER(I383),I383,""))</f>
        <v/>
      </c>
      <c r="L383" s="33" t="n"/>
      <c r="M383" s="34">
        <f>IF(COUNTA(A383:B383,D383:I383,L383)=0,"",IF(B383="","案件番号がありません",IF(ISNA(MATCH(B383,'案件'!$A$6:$A$105,0)),"案件シートに無い番号です",IF(NOT(OR(D383="材料費",D383="労務費",D383="外注費",D383="経費")),"費目を4つから選んでください",IF(K383="",IF(AND(ISNUMBER(F383),NOT(ISNUMBER(J383))),IF(D383="労務費","単価がありません（設定の作業者名と同じ書き方に）","単価がありません"),IF(AND(ISNUMBER(J383),NOT(ISNUMBER(F383))),"数量がありません","金額がありません")),IF(NOT(ISNUMBER(A383)),"日付がありません（月別集計に入りません）",IF(AND(ISNUMBER(F383),ISNUMBER(J383),ISNUMBER(I383)),"数量×単価を使いました（金額の欄は使っていません）","")))))))</f>
        <v/>
      </c>
      <c r="N383" s="91">
        <f>IF(AND(B383&lt;&gt;"",B383='案件カード'!$C$3),COUNTIF($B$5:B383,'案件カード'!$C$3),"")</f>
        <v/>
      </c>
      <c r="O383" s="91">
        <f>IF(ISNUMBER(K383),IF(B383="",K383,IF(AND(ISNUMBER(MATCH(B383,'案件'!$A$6:$A$105,0)),OR(D383="材料費",D383="労務費",D383="外注費",D383="経費")),0,K383)),0)</f>
        <v/>
      </c>
    </row>
    <row r="384" ht="16" customHeight="1">
      <c r="A384" s="35" t="n"/>
      <c r="B384" s="36" t="n"/>
      <c r="C384" s="37">
        <f>IF(B384="","",IFERROR(INDEX('案件'!$B$6:$B$105,MATCH(B384,'案件'!$A$6:$A$105,0))&amp;"","（案件シートに無い番号）"))</f>
        <v/>
      </c>
      <c r="D384" s="36" t="n"/>
      <c r="E384" s="38" t="n"/>
      <c r="F384" s="39" t="n"/>
      <c r="G384" s="36" t="n"/>
      <c r="H384" s="40" t="n"/>
      <c r="I384" s="40" t="n"/>
      <c r="J384" s="41">
        <f>IF(ISNUMBER(H384),H384,IF(AND(D384="労務費",TRIM(E384)&lt;&gt;""),IFERROR(INDEX('設定'!$G$12:$G$31,MATCH(TRIM(E384),'設定'!$J$12:$J$31,0)),""),""))</f>
        <v/>
      </c>
      <c r="K384" s="30">
        <f>IF(AND(ISNUMBER(F384),ISNUMBER(J384)),ROUND(F384*J384,0),IF(ISNUMBER(I384),I384,""))</f>
        <v/>
      </c>
      <c r="L384" s="33" t="n"/>
      <c r="M384" s="34">
        <f>IF(COUNTA(A384:B384,D384:I384,L384)=0,"",IF(B384="","案件番号がありません",IF(ISNA(MATCH(B384,'案件'!$A$6:$A$105,0)),"案件シートに無い番号です",IF(NOT(OR(D384="材料費",D384="労務費",D384="外注費",D384="経費")),"費目を4つから選んでください",IF(K384="",IF(AND(ISNUMBER(F384),NOT(ISNUMBER(J384))),IF(D384="労務費","単価がありません（設定の作業者名と同じ書き方に）","単価がありません"),IF(AND(ISNUMBER(J384),NOT(ISNUMBER(F384))),"数量がありません","金額がありません")),IF(NOT(ISNUMBER(A384)),"日付がありません（月別集計に入りません）",IF(AND(ISNUMBER(F384),ISNUMBER(J384),ISNUMBER(I384)),"数量×単価を使いました（金額の欄は使っていません）","")))))))</f>
        <v/>
      </c>
      <c r="N384" s="91">
        <f>IF(AND(B384&lt;&gt;"",B384='案件カード'!$C$3),COUNTIF($B$5:B384,'案件カード'!$C$3),"")</f>
        <v/>
      </c>
      <c r="O384" s="91">
        <f>IF(ISNUMBER(K384),IF(B384="",K384,IF(AND(ISNUMBER(MATCH(B384,'案件'!$A$6:$A$105,0)),OR(D384="材料費",D384="労務費",D384="外注費",D384="経費")),0,K384)),0)</f>
        <v/>
      </c>
    </row>
    <row r="385" ht="16" customHeight="1">
      <c r="A385" s="35" t="n"/>
      <c r="B385" s="36" t="n"/>
      <c r="C385" s="37">
        <f>IF(B385="","",IFERROR(INDEX('案件'!$B$6:$B$105,MATCH(B385,'案件'!$A$6:$A$105,0))&amp;"","（案件シートに無い番号）"))</f>
        <v/>
      </c>
      <c r="D385" s="36" t="n"/>
      <c r="E385" s="38" t="n"/>
      <c r="F385" s="39" t="n"/>
      <c r="G385" s="36" t="n"/>
      <c r="H385" s="40" t="n"/>
      <c r="I385" s="40" t="n"/>
      <c r="J385" s="41">
        <f>IF(ISNUMBER(H385),H385,IF(AND(D385="労務費",TRIM(E385)&lt;&gt;""),IFERROR(INDEX('設定'!$G$12:$G$31,MATCH(TRIM(E385),'設定'!$J$12:$J$31,0)),""),""))</f>
        <v/>
      </c>
      <c r="K385" s="30">
        <f>IF(AND(ISNUMBER(F385),ISNUMBER(J385)),ROUND(F385*J385,0),IF(ISNUMBER(I385),I385,""))</f>
        <v/>
      </c>
      <c r="L385" s="33" t="n"/>
      <c r="M385" s="34">
        <f>IF(COUNTA(A385:B385,D385:I385,L385)=0,"",IF(B385="","案件番号がありません",IF(ISNA(MATCH(B385,'案件'!$A$6:$A$105,0)),"案件シートに無い番号です",IF(NOT(OR(D385="材料費",D385="労務費",D385="外注費",D385="経費")),"費目を4つから選んでください",IF(K385="",IF(AND(ISNUMBER(F385),NOT(ISNUMBER(J385))),IF(D385="労務費","単価がありません（設定の作業者名と同じ書き方に）","単価がありません"),IF(AND(ISNUMBER(J385),NOT(ISNUMBER(F385))),"数量がありません","金額がありません")),IF(NOT(ISNUMBER(A385)),"日付がありません（月別集計に入りません）",IF(AND(ISNUMBER(F385),ISNUMBER(J385),ISNUMBER(I385)),"数量×単価を使いました（金額の欄は使っていません）","")))))))</f>
        <v/>
      </c>
      <c r="N385" s="91">
        <f>IF(AND(B385&lt;&gt;"",B385='案件カード'!$C$3),COUNTIF($B$5:B385,'案件カード'!$C$3),"")</f>
        <v/>
      </c>
      <c r="O385" s="91">
        <f>IF(ISNUMBER(K385),IF(B385="",K385,IF(AND(ISNUMBER(MATCH(B385,'案件'!$A$6:$A$105,0)),OR(D385="材料費",D385="労務費",D385="外注費",D385="経費")),0,K385)),0)</f>
        <v/>
      </c>
    </row>
    <row r="386" ht="16" customHeight="1">
      <c r="A386" s="35" t="n"/>
      <c r="B386" s="36" t="n"/>
      <c r="C386" s="37">
        <f>IF(B386="","",IFERROR(INDEX('案件'!$B$6:$B$105,MATCH(B386,'案件'!$A$6:$A$105,0))&amp;"","（案件シートに無い番号）"))</f>
        <v/>
      </c>
      <c r="D386" s="36" t="n"/>
      <c r="E386" s="38" t="n"/>
      <c r="F386" s="39" t="n"/>
      <c r="G386" s="36" t="n"/>
      <c r="H386" s="40" t="n"/>
      <c r="I386" s="40" t="n"/>
      <c r="J386" s="41">
        <f>IF(ISNUMBER(H386),H386,IF(AND(D386="労務費",TRIM(E386)&lt;&gt;""),IFERROR(INDEX('設定'!$G$12:$G$31,MATCH(TRIM(E386),'設定'!$J$12:$J$31,0)),""),""))</f>
        <v/>
      </c>
      <c r="K386" s="30">
        <f>IF(AND(ISNUMBER(F386),ISNUMBER(J386)),ROUND(F386*J386,0),IF(ISNUMBER(I386),I386,""))</f>
        <v/>
      </c>
      <c r="L386" s="33" t="n"/>
      <c r="M386" s="34">
        <f>IF(COUNTA(A386:B386,D386:I386,L386)=0,"",IF(B386="","案件番号がありません",IF(ISNA(MATCH(B386,'案件'!$A$6:$A$105,0)),"案件シートに無い番号です",IF(NOT(OR(D386="材料費",D386="労務費",D386="外注費",D386="経費")),"費目を4つから選んでください",IF(K386="",IF(AND(ISNUMBER(F386),NOT(ISNUMBER(J386))),IF(D386="労務費","単価がありません（設定の作業者名と同じ書き方に）","単価がありません"),IF(AND(ISNUMBER(J386),NOT(ISNUMBER(F386))),"数量がありません","金額がありません")),IF(NOT(ISNUMBER(A386)),"日付がありません（月別集計に入りません）",IF(AND(ISNUMBER(F386),ISNUMBER(J386),ISNUMBER(I386)),"数量×単価を使いました（金額の欄は使っていません）","")))))))</f>
        <v/>
      </c>
      <c r="N386" s="91">
        <f>IF(AND(B386&lt;&gt;"",B386='案件カード'!$C$3),COUNTIF($B$5:B386,'案件カード'!$C$3),"")</f>
        <v/>
      </c>
      <c r="O386" s="91">
        <f>IF(ISNUMBER(K386),IF(B386="",K386,IF(AND(ISNUMBER(MATCH(B386,'案件'!$A$6:$A$105,0)),OR(D386="材料費",D386="労務費",D386="外注費",D386="経費")),0,K386)),0)</f>
        <v/>
      </c>
    </row>
    <row r="387" ht="16" customHeight="1">
      <c r="A387" s="35" t="n"/>
      <c r="B387" s="36" t="n"/>
      <c r="C387" s="37">
        <f>IF(B387="","",IFERROR(INDEX('案件'!$B$6:$B$105,MATCH(B387,'案件'!$A$6:$A$105,0))&amp;"","（案件シートに無い番号）"))</f>
        <v/>
      </c>
      <c r="D387" s="36" t="n"/>
      <c r="E387" s="38" t="n"/>
      <c r="F387" s="39" t="n"/>
      <c r="G387" s="36" t="n"/>
      <c r="H387" s="40" t="n"/>
      <c r="I387" s="40" t="n"/>
      <c r="J387" s="41">
        <f>IF(ISNUMBER(H387),H387,IF(AND(D387="労務費",TRIM(E387)&lt;&gt;""),IFERROR(INDEX('設定'!$G$12:$G$31,MATCH(TRIM(E387),'設定'!$J$12:$J$31,0)),""),""))</f>
        <v/>
      </c>
      <c r="K387" s="30">
        <f>IF(AND(ISNUMBER(F387),ISNUMBER(J387)),ROUND(F387*J387,0),IF(ISNUMBER(I387),I387,""))</f>
        <v/>
      </c>
      <c r="L387" s="33" t="n"/>
      <c r="M387" s="34">
        <f>IF(COUNTA(A387:B387,D387:I387,L387)=0,"",IF(B387="","案件番号がありません",IF(ISNA(MATCH(B387,'案件'!$A$6:$A$105,0)),"案件シートに無い番号です",IF(NOT(OR(D387="材料費",D387="労務費",D387="外注費",D387="経費")),"費目を4つから選んでください",IF(K387="",IF(AND(ISNUMBER(F387),NOT(ISNUMBER(J387))),IF(D387="労務費","単価がありません（設定の作業者名と同じ書き方に）","単価がありません"),IF(AND(ISNUMBER(J387),NOT(ISNUMBER(F387))),"数量がありません","金額がありません")),IF(NOT(ISNUMBER(A387)),"日付がありません（月別集計に入りません）",IF(AND(ISNUMBER(F387),ISNUMBER(J387),ISNUMBER(I387)),"数量×単価を使いました（金額の欄は使っていません）","")))))))</f>
        <v/>
      </c>
      <c r="N387" s="91">
        <f>IF(AND(B387&lt;&gt;"",B387='案件カード'!$C$3),COUNTIF($B$5:B387,'案件カード'!$C$3),"")</f>
        <v/>
      </c>
      <c r="O387" s="91">
        <f>IF(ISNUMBER(K387),IF(B387="",K387,IF(AND(ISNUMBER(MATCH(B387,'案件'!$A$6:$A$105,0)),OR(D387="材料費",D387="労務費",D387="外注費",D387="経費")),0,K387)),0)</f>
        <v/>
      </c>
    </row>
    <row r="388" ht="16" customHeight="1">
      <c r="A388" s="35" t="n"/>
      <c r="B388" s="36" t="n"/>
      <c r="C388" s="37">
        <f>IF(B388="","",IFERROR(INDEX('案件'!$B$6:$B$105,MATCH(B388,'案件'!$A$6:$A$105,0))&amp;"","（案件シートに無い番号）"))</f>
        <v/>
      </c>
      <c r="D388" s="36" t="n"/>
      <c r="E388" s="38" t="n"/>
      <c r="F388" s="39" t="n"/>
      <c r="G388" s="36" t="n"/>
      <c r="H388" s="40" t="n"/>
      <c r="I388" s="40" t="n"/>
      <c r="J388" s="41">
        <f>IF(ISNUMBER(H388),H388,IF(AND(D388="労務費",TRIM(E388)&lt;&gt;""),IFERROR(INDEX('設定'!$G$12:$G$31,MATCH(TRIM(E388),'設定'!$J$12:$J$31,0)),""),""))</f>
        <v/>
      </c>
      <c r="K388" s="30">
        <f>IF(AND(ISNUMBER(F388),ISNUMBER(J388)),ROUND(F388*J388,0),IF(ISNUMBER(I388),I388,""))</f>
        <v/>
      </c>
      <c r="L388" s="33" t="n"/>
      <c r="M388" s="34">
        <f>IF(COUNTA(A388:B388,D388:I388,L388)=0,"",IF(B388="","案件番号がありません",IF(ISNA(MATCH(B388,'案件'!$A$6:$A$105,0)),"案件シートに無い番号です",IF(NOT(OR(D388="材料費",D388="労務費",D388="外注費",D388="経費")),"費目を4つから選んでください",IF(K388="",IF(AND(ISNUMBER(F388),NOT(ISNUMBER(J388))),IF(D388="労務費","単価がありません（設定の作業者名と同じ書き方に）","単価がありません"),IF(AND(ISNUMBER(J388),NOT(ISNUMBER(F388))),"数量がありません","金額がありません")),IF(NOT(ISNUMBER(A388)),"日付がありません（月別集計に入りません）",IF(AND(ISNUMBER(F388),ISNUMBER(J388),ISNUMBER(I388)),"数量×単価を使いました（金額の欄は使っていません）","")))))))</f>
        <v/>
      </c>
      <c r="N388" s="91">
        <f>IF(AND(B388&lt;&gt;"",B388='案件カード'!$C$3),COUNTIF($B$5:B388,'案件カード'!$C$3),"")</f>
        <v/>
      </c>
      <c r="O388" s="91">
        <f>IF(ISNUMBER(K388),IF(B388="",K388,IF(AND(ISNUMBER(MATCH(B388,'案件'!$A$6:$A$105,0)),OR(D388="材料費",D388="労務費",D388="外注費",D388="経費")),0,K388)),0)</f>
        <v/>
      </c>
    </row>
    <row r="389" ht="16" customHeight="1">
      <c r="A389" s="35" t="n"/>
      <c r="B389" s="36" t="n"/>
      <c r="C389" s="37">
        <f>IF(B389="","",IFERROR(INDEX('案件'!$B$6:$B$105,MATCH(B389,'案件'!$A$6:$A$105,0))&amp;"","（案件シートに無い番号）"))</f>
        <v/>
      </c>
      <c r="D389" s="36" t="n"/>
      <c r="E389" s="38" t="n"/>
      <c r="F389" s="39" t="n"/>
      <c r="G389" s="36" t="n"/>
      <c r="H389" s="40" t="n"/>
      <c r="I389" s="40" t="n"/>
      <c r="J389" s="41">
        <f>IF(ISNUMBER(H389),H389,IF(AND(D389="労務費",TRIM(E389)&lt;&gt;""),IFERROR(INDEX('設定'!$G$12:$G$31,MATCH(TRIM(E389),'設定'!$J$12:$J$31,0)),""),""))</f>
        <v/>
      </c>
      <c r="K389" s="30">
        <f>IF(AND(ISNUMBER(F389),ISNUMBER(J389)),ROUND(F389*J389,0),IF(ISNUMBER(I389),I389,""))</f>
        <v/>
      </c>
      <c r="L389" s="33" t="n"/>
      <c r="M389" s="34">
        <f>IF(COUNTA(A389:B389,D389:I389,L389)=0,"",IF(B389="","案件番号がありません",IF(ISNA(MATCH(B389,'案件'!$A$6:$A$105,0)),"案件シートに無い番号です",IF(NOT(OR(D389="材料費",D389="労務費",D389="外注費",D389="経費")),"費目を4つから選んでください",IF(K389="",IF(AND(ISNUMBER(F389),NOT(ISNUMBER(J389))),IF(D389="労務費","単価がありません（設定の作業者名と同じ書き方に）","単価がありません"),IF(AND(ISNUMBER(J389),NOT(ISNUMBER(F389))),"数量がありません","金額がありません")),IF(NOT(ISNUMBER(A389)),"日付がありません（月別集計に入りません）",IF(AND(ISNUMBER(F389),ISNUMBER(J389),ISNUMBER(I389)),"数量×単価を使いました（金額の欄は使っていません）","")))))))</f>
        <v/>
      </c>
      <c r="N389" s="91">
        <f>IF(AND(B389&lt;&gt;"",B389='案件カード'!$C$3),COUNTIF($B$5:B389,'案件カード'!$C$3),"")</f>
        <v/>
      </c>
      <c r="O389" s="91">
        <f>IF(ISNUMBER(K389),IF(B389="",K389,IF(AND(ISNUMBER(MATCH(B389,'案件'!$A$6:$A$105,0)),OR(D389="材料費",D389="労務費",D389="外注費",D389="経費")),0,K389)),0)</f>
        <v/>
      </c>
    </row>
    <row r="390" ht="16" customHeight="1">
      <c r="A390" s="35" t="n"/>
      <c r="B390" s="36" t="n"/>
      <c r="C390" s="37">
        <f>IF(B390="","",IFERROR(INDEX('案件'!$B$6:$B$105,MATCH(B390,'案件'!$A$6:$A$105,0))&amp;"","（案件シートに無い番号）"))</f>
        <v/>
      </c>
      <c r="D390" s="36" t="n"/>
      <c r="E390" s="38" t="n"/>
      <c r="F390" s="39" t="n"/>
      <c r="G390" s="36" t="n"/>
      <c r="H390" s="40" t="n"/>
      <c r="I390" s="40" t="n"/>
      <c r="J390" s="41">
        <f>IF(ISNUMBER(H390),H390,IF(AND(D390="労務費",TRIM(E390)&lt;&gt;""),IFERROR(INDEX('設定'!$G$12:$G$31,MATCH(TRIM(E390),'設定'!$J$12:$J$31,0)),""),""))</f>
        <v/>
      </c>
      <c r="K390" s="30">
        <f>IF(AND(ISNUMBER(F390),ISNUMBER(J390)),ROUND(F390*J390,0),IF(ISNUMBER(I390),I390,""))</f>
        <v/>
      </c>
      <c r="L390" s="33" t="n"/>
      <c r="M390" s="34">
        <f>IF(COUNTA(A390:B390,D390:I390,L390)=0,"",IF(B390="","案件番号がありません",IF(ISNA(MATCH(B390,'案件'!$A$6:$A$105,0)),"案件シートに無い番号です",IF(NOT(OR(D390="材料費",D390="労務費",D390="外注費",D390="経費")),"費目を4つから選んでください",IF(K390="",IF(AND(ISNUMBER(F390),NOT(ISNUMBER(J390))),IF(D390="労務費","単価がありません（設定の作業者名と同じ書き方に）","単価がありません"),IF(AND(ISNUMBER(J390),NOT(ISNUMBER(F390))),"数量がありません","金額がありません")),IF(NOT(ISNUMBER(A390)),"日付がありません（月別集計に入りません）",IF(AND(ISNUMBER(F390),ISNUMBER(J390),ISNUMBER(I390)),"数量×単価を使いました（金額の欄は使っていません）","")))))))</f>
        <v/>
      </c>
      <c r="N390" s="91">
        <f>IF(AND(B390&lt;&gt;"",B390='案件カード'!$C$3),COUNTIF($B$5:B390,'案件カード'!$C$3),"")</f>
        <v/>
      </c>
      <c r="O390" s="91">
        <f>IF(ISNUMBER(K390),IF(B390="",K390,IF(AND(ISNUMBER(MATCH(B390,'案件'!$A$6:$A$105,0)),OR(D390="材料費",D390="労務費",D390="外注費",D390="経費")),0,K390)),0)</f>
        <v/>
      </c>
    </row>
    <row r="391" ht="16" customHeight="1">
      <c r="A391" s="35" t="n"/>
      <c r="B391" s="36" t="n"/>
      <c r="C391" s="37">
        <f>IF(B391="","",IFERROR(INDEX('案件'!$B$6:$B$105,MATCH(B391,'案件'!$A$6:$A$105,0))&amp;"","（案件シートに無い番号）"))</f>
        <v/>
      </c>
      <c r="D391" s="36" t="n"/>
      <c r="E391" s="38" t="n"/>
      <c r="F391" s="39" t="n"/>
      <c r="G391" s="36" t="n"/>
      <c r="H391" s="40" t="n"/>
      <c r="I391" s="40" t="n"/>
      <c r="J391" s="41">
        <f>IF(ISNUMBER(H391),H391,IF(AND(D391="労務費",TRIM(E391)&lt;&gt;""),IFERROR(INDEX('設定'!$G$12:$G$31,MATCH(TRIM(E391),'設定'!$J$12:$J$31,0)),""),""))</f>
        <v/>
      </c>
      <c r="K391" s="30">
        <f>IF(AND(ISNUMBER(F391),ISNUMBER(J391)),ROUND(F391*J391,0),IF(ISNUMBER(I391),I391,""))</f>
        <v/>
      </c>
      <c r="L391" s="33" t="n"/>
      <c r="M391" s="34">
        <f>IF(COUNTA(A391:B391,D391:I391,L391)=0,"",IF(B391="","案件番号がありません",IF(ISNA(MATCH(B391,'案件'!$A$6:$A$105,0)),"案件シートに無い番号です",IF(NOT(OR(D391="材料費",D391="労務費",D391="外注費",D391="経費")),"費目を4つから選んでください",IF(K391="",IF(AND(ISNUMBER(F391),NOT(ISNUMBER(J391))),IF(D391="労務費","単価がありません（設定の作業者名と同じ書き方に）","単価がありません"),IF(AND(ISNUMBER(J391),NOT(ISNUMBER(F391))),"数量がありません","金額がありません")),IF(NOT(ISNUMBER(A391)),"日付がありません（月別集計に入りません）",IF(AND(ISNUMBER(F391),ISNUMBER(J391),ISNUMBER(I391)),"数量×単価を使いました（金額の欄は使っていません）","")))))))</f>
        <v/>
      </c>
      <c r="N391" s="91">
        <f>IF(AND(B391&lt;&gt;"",B391='案件カード'!$C$3),COUNTIF($B$5:B391,'案件カード'!$C$3),"")</f>
        <v/>
      </c>
      <c r="O391" s="91">
        <f>IF(ISNUMBER(K391),IF(B391="",K391,IF(AND(ISNUMBER(MATCH(B391,'案件'!$A$6:$A$105,0)),OR(D391="材料費",D391="労務費",D391="外注費",D391="経費")),0,K391)),0)</f>
        <v/>
      </c>
    </row>
    <row r="392" ht="16" customHeight="1">
      <c r="A392" s="35" t="n"/>
      <c r="B392" s="36" t="n"/>
      <c r="C392" s="37">
        <f>IF(B392="","",IFERROR(INDEX('案件'!$B$6:$B$105,MATCH(B392,'案件'!$A$6:$A$105,0))&amp;"","（案件シートに無い番号）"))</f>
        <v/>
      </c>
      <c r="D392" s="36" t="n"/>
      <c r="E392" s="38" t="n"/>
      <c r="F392" s="39" t="n"/>
      <c r="G392" s="36" t="n"/>
      <c r="H392" s="40" t="n"/>
      <c r="I392" s="40" t="n"/>
      <c r="J392" s="41">
        <f>IF(ISNUMBER(H392),H392,IF(AND(D392="労務費",TRIM(E392)&lt;&gt;""),IFERROR(INDEX('設定'!$G$12:$G$31,MATCH(TRIM(E392),'設定'!$J$12:$J$31,0)),""),""))</f>
        <v/>
      </c>
      <c r="K392" s="30">
        <f>IF(AND(ISNUMBER(F392),ISNUMBER(J392)),ROUND(F392*J392,0),IF(ISNUMBER(I392),I392,""))</f>
        <v/>
      </c>
      <c r="L392" s="33" t="n"/>
      <c r="M392" s="34">
        <f>IF(COUNTA(A392:B392,D392:I392,L392)=0,"",IF(B392="","案件番号がありません",IF(ISNA(MATCH(B392,'案件'!$A$6:$A$105,0)),"案件シートに無い番号です",IF(NOT(OR(D392="材料費",D392="労務費",D392="外注費",D392="経費")),"費目を4つから選んでください",IF(K392="",IF(AND(ISNUMBER(F392),NOT(ISNUMBER(J392))),IF(D392="労務費","単価がありません（設定の作業者名と同じ書き方に）","単価がありません"),IF(AND(ISNUMBER(J392),NOT(ISNUMBER(F392))),"数量がありません","金額がありません")),IF(NOT(ISNUMBER(A392)),"日付がありません（月別集計に入りません）",IF(AND(ISNUMBER(F392),ISNUMBER(J392),ISNUMBER(I392)),"数量×単価を使いました（金額の欄は使っていません）","")))))))</f>
        <v/>
      </c>
      <c r="N392" s="91">
        <f>IF(AND(B392&lt;&gt;"",B392='案件カード'!$C$3),COUNTIF($B$5:B392,'案件カード'!$C$3),"")</f>
        <v/>
      </c>
      <c r="O392" s="91">
        <f>IF(ISNUMBER(K392),IF(B392="",K392,IF(AND(ISNUMBER(MATCH(B392,'案件'!$A$6:$A$105,0)),OR(D392="材料費",D392="労務費",D392="外注費",D392="経費")),0,K392)),0)</f>
        <v/>
      </c>
    </row>
    <row r="393" ht="16" customHeight="1">
      <c r="A393" s="35" t="n"/>
      <c r="B393" s="36" t="n"/>
      <c r="C393" s="37">
        <f>IF(B393="","",IFERROR(INDEX('案件'!$B$6:$B$105,MATCH(B393,'案件'!$A$6:$A$105,0))&amp;"","（案件シートに無い番号）"))</f>
        <v/>
      </c>
      <c r="D393" s="36" t="n"/>
      <c r="E393" s="38" t="n"/>
      <c r="F393" s="39" t="n"/>
      <c r="G393" s="36" t="n"/>
      <c r="H393" s="40" t="n"/>
      <c r="I393" s="40" t="n"/>
      <c r="J393" s="41">
        <f>IF(ISNUMBER(H393),H393,IF(AND(D393="労務費",TRIM(E393)&lt;&gt;""),IFERROR(INDEX('設定'!$G$12:$G$31,MATCH(TRIM(E393),'設定'!$J$12:$J$31,0)),""),""))</f>
        <v/>
      </c>
      <c r="K393" s="30">
        <f>IF(AND(ISNUMBER(F393),ISNUMBER(J393)),ROUND(F393*J393,0),IF(ISNUMBER(I393),I393,""))</f>
        <v/>
      </c>
      <c r="L393" s="33" t="n"/>
      <c r="M393" s="34">
        <f>IF(COUNTA(A393:B393,D393:I393,L393)=0,"",IF(B393="","案件番号がありません",IF(ISNA(MATCH(B393,'案件'!$A$6:$A$105,0)),"案件シートに無い番号です",IF(NOT(OR(D393="材料費",D393="労務費",D393="外注費",D393="経費")),"費目を4つから選んでください",IF(K393="",IF(AND(ISNUMBER(F393),NOT(ISNUMBER(J393))),IF(D393="労務費","単価がありません（設定の作業者名と同じ書き方に）","単価がありません"),IF(AND(ISNUMBER(J393),NOT(ISNUMBER(F393))),"数量がありません","金額がありません")),IF(NOT(ISNUMBER(A393)),"日付がありません（月別集計に入りません）",IF(AND(ISNUMBER(F393),ISNUMBER(J393),ISNUMBER(I393)),"数量×単価を使いました（金額の欄は使っていません）","")))))))</f>
        <v/>
      </c>
      <c r="N393" s="91">
        <f>IF(AND(B393&lt;&gt;"",B393='案件カード'!$C$3),COUNTIF($B$5:B393,'案件カード'!$C$3),"")</f>
        <v/>
      </c>
      <c r="O393" s="91">
        <f>IF(ISNUMBER(K393),IF(B393="",K393,IF(AND(ISNUMBER(MATCH(B393,'案件'!$A$6:$A$105,0)),OR(D393="材料費",D393="労務費",D393="外注費",D393="経費")),0,K393)),0)</f>
        <v/>
      </c>
    </row>
    <row r="394" ht="16" customHeight="1">
      <c r="A394" s="35" t="n"/>
      <c r="B394" s="36" t="n"/>
      <c r="C394" s="37">
        <f>IF(B394="","",IFERROR(INDEX('案件'!$B$6:$B$105,MATCH(B394,'案件'!$A$6:$A$105,0))&amp;"","（案件シートに無い番号）"))</f>
        <v/>
      </c>
      <c r="D394" s="36" t="n"/>
      <c r="E394" s="38" t="n"/>
      <c r="F394" s="39" t="n"/>
      <c r="G394" s="36" t="n"/>
      <c r="H394" s="40" t="n"/>
      <c r="I394" s="40" t="n"/>
      <c r="J394" s="41">
        <f>IF(ISNUMBER(H394),H394,IF(AND(D394="労務費",TRIM(E394)&lt;&gt;""),IFERROR(INDEX('設定'!$G$12:$G$31,MATCH(TRIM(E394),'設定'!$J$12:$J$31,0)),""),""))</f>
        <v/>
      </c>
      <c r="K394" s="30">
        <f>IF(AND(ISNUMBER(F394),ISNUMBER(J394)),ROUND(F394*J394,0),IF(ISNUMBER(I394),I394,""))</f>
        <v/>
      </c>
      <c r="L394" s="33" t="n"/>
      <c r="M394" s="34">
        <f>IF(COUNTA(A394:B394,D394:I394,L394)=0,"",IF(B394="","案件番号がありません",IF(ISNA(MATCH(B394,'案件'!$A$6:$A$105,0)),"案件シートに無い番号です",IF(NOT(OR(D394="材料費",D394="労務費",D394="外注費",D394="経費")),"費目を4つから選んでください",IF(K394="",IF(AND(ISNUMBER(F394),NOT(ISNUMBER(J394))),IF(D394="労務費","単価がありません（設定の作業者名と同じ書き方に）","単価がありません"),IF(AND(ISNUMBER(J394),NOT(ISNUMBER(F394))),"数量がありません","金額がありません")),IF(NOT(ISNUMBER(A394)),"日付がありません（月別集計に入りません）",IF(AND(ISNUMBER(F394),ISNUMBER(J394),ISNUMBER(I394)),"数量×単価を使いました（金額の欄は使っていません）","")))))))</f>
        <v/>
      </c>
      <c r="N394" s="91">
        <f>IF(AND(B394&lt;&gt;"",B394='案件カード'!$C$3),COUNTIF($B$5:B394,'案件カード'!$C$3),"")</f>
        <v/>
      </c>
      <c r="O394" s="91">
        <f>IF(ISNUMBER(K394),IF(B394="",K394,IF(AND(ISNUMBER(MATCH(B394,'案件'!$A$6:$A$105,0)),OR(D394="材料費",D394="労務費",D394="外注費",D394="経費")),0,K394)),0)</f>
        <v/>
      </c>
    </row>
    <row r="395" ht="16" customHeight="1">
      <c r="A395" s="35" t="n"/>
      <c r="B395" s="36" t="n"/>
      <c r="C395" s="37">
        <f>IF(B395="","",IFERROR(INDEX('案件'!$B$6:$B$105,MATCH(B395,'案件'!$A$6:$A$105,0))&amp;"","（案件シートに無い番号）"))</f>
        <v/>
      </c>
      <c r="D395" s="36" t="n"/>
      <c r="E395" s="38" t="n"/>
      <c r="F395" s="39" t="n"/>
      <c r="G395" s="36" t="n"/>
      <c r="H395" s="40" t="n"/>
      <c r="I395" s="40" t="n"/>
      <c r="J395" s="41">
        <f>IF(ISNUMBER(H395),H395,IF(AND(D395="労務費",TRIM(E395)&lt;&gt;""),IFERROR(INDEX('設定'!$G$12:$G$31,MATCH(TRIM(E395),'設定'!$J$12:$J$31,0)),""),""))</f>
        <v/>
      </c>
      <c r="K395" s="30">
        <f>IF(AND(ISNUMBER(F395),ISNUMBER(J395)),ROUND(F395*J395,0),IF(ISNUMBER(I395),I395,""))</f>
        <v/>
      </c>
      <c r="L395" s="33" t="n"/>
      <c r="M395" s="34">
        <f>IF(COUNTA(A395:B395,D395:I395,L395)=0,"",IF(B395="","案件番号がありません",IF(ISNA(MATCH(B395,'案件'!$A$6:$A$105,0)),"案件シートに無い番号です",IF(NOT(OR(D395="材料費",D395="労務費",D395="外注費",D395="経費")),"費目を4つから選んでください",IF(K395="",IF(AND(ISNUMBER(F395),NOT(ISNUMBER(J395))),IF(D395="労務費","単価がありません（設定の作業者名と同じ書き方に）","単価がありません"),IF(AND(ISNUMBER(J395),NOT(ISNUMBER(F395))),"数量がありません","金額がありません")),IF(NOT(ISNUMBER(A395)),"日付がありません（月別集計に入りません）",IF(AND(ISNUMBER(F395),ISNUMBER(J395),ISNUMBER(I395)),"数量×単価を使いました（金額の欄は使っていません）","")))))))</f>
        <v/>
      </c>
      <c r="N395" s="91">
        <f>IF(AND(B395&lt;&gt;"",B395='案件カード'!$C$3),COUNTIF($B$5:B395,'案件カード'!$C$3),"")</f>
        <v/>
      </c>
      <c r="O395" s="91">
        <f>IF(ISNUMBER(K395),IF(B395="",K395,IF(AND(ISNUMBER(MATCH(B395,'案件'!$A$6:$A$105,0)),OR(D395="材料費",D395="労務費",D395="外注費",D395="経費")),0,K395)),0)</f>
        <v/>
      </c>
    </row>
    <row r="396" ht="16" customHeight="1">
      <c r="A396" s="35" t="n"/>
      <c r="B396" s="36" t="n"/>
      <c r="C396" s="37">
        <f>IF(B396="","",IFERROR(INDEX('案件'!$B$6:$B$105,MATCH(B396,'案件'!$A$6:$A$105,0))&amp;"","（案件シートに無い番号）"))</f>
        <v/>
      </c>
      <c r="D396" s="36" t="n"/>
      <c r="E396" s="38" t="n"/>
      <c r="F396" s="39" t="n"/>
      <c r="G396" s="36" t="n"/>
      <c r="H396" s="40" t="n"/>
      <c r="I396" s="40" t="n"/>
      <c r="J396" s="41">
        <f>IF(ISNUMBER(H396),H396,IF(AND(D396="労務費",TRIM(E396)&lt;&gt;""),IFERROR(INDEX('設定'!$G$12:$G$31,MATCH(TRIM(E396),'設定'!$J$12:$J$31,0)),""),""))</f>
        <v/>
      </c>
      <c r="K396" s="30">
        <f>IF(AND(ISNUMBER(F396),ISNUMBER(J396)),ROUND(F396*J396,0),IF(ISNUMBER(I396),I396,""))</f>
        <v/>
      </c>
      <c r="L396" s="33" t="n"/>
      <c r="M396" s="34">
        <f>IF(COUNTA(A396:B396,D396:I396,L396)=0,"",IF(B396="","案件番号がありません",IF(ISNA(MATCH(B396,'案件'!$A$6:$A$105,0)),"案件シートに無い番号です",IF(NOT(OR(D396="材料費",D396="労務費",D396="外注費",D396="経費")),"費目を4つから選んでください",IF(K396="",IF(AND(ISNUMBER(F396),NOT(ISNUMBER(J396))),IF(D396="労務費","単価がありません（設定の作業者名と同じ書き方に）","単価がありません"),IF(AND(ISNUMBER(J396),NOT(ISNUMBER(F396))),"数量がありません","金額がありません")),IF(NOT(ISNUMBER(A396)),"日付がありません（月別集計に入りません）",IF(AND(ISNUMBER(F396),ISNUMBER(J396),ISNUMBER(I396)),"数量×単価を使いました（金額の欄は使っていません）","")))))))</f>
        <v/>
      </c>
      <c r="N396" s="91">
        <f>IF(AND(B396&lt;&gt;"",B396='案件カード'!$C$3),COUNTIF($B$5:B396,'案件カード'!$C$3),"")</f>
        <v/>
      </c>
      <c r="O396" s="91">
        <f>IF(ISNUMBER(K396),IF(B396="",K396,IF(AND(ISNUMBER(MATCH(B396,'案件'!$A$6:$A$105,0)),OR(D396="材料費",D396="労務費",D396="外注費",D396="経費")),0,K396)),0)</f>
        <v/>
      </c>
    </row>
    <row r="397" ht="16" customHeight="1">
      <c r="A397" s="35" t="n"/>
      <c r="B397" s="36" t="n"/>
      <c r="C397" s="37">
        <f>IF(B397="","",IFERROR(INDEX('案件'!$B$6:$B$105,MATCH(B397,'案件'!$A$6:$A$105,0))&amp;"","（案件シートに無い番号）"))</f>
        <v/>
      </c>
      <c r="D397" s="36" t="n"/>
      <c r="E397" s="38" t="n"/>
      <c r="F397" s="39" t="n"/>
      <c r="G397" s="36" t="n"/>
      <c r="H397" s="40" t="n"/>
      <c r="I397" s="40" t="n"/>
      <c r="J397" s="41">
        <f>IF(ISNUMBER(H397),H397,IF(AND(D397="労務費",TRIM(E397)&lt;&gt;""),IFERROR(INDEX('設定'!$G$12:$G$31,MATCH(TRIM(E397),'設定'!$J$12:$J$31,0)),""),""))</f>
        <v/>
      </c>
      <c r="K397" s="30">
        <f>IF(AND(ISNUMBER(F397),ISNUMBER(J397)),ROUND(F397*J397,0),IF(ISNUMBER(I397),I397,""))</f>
        <v/>
      </c>
      <c r="L397" s="33" t="n"/>
      <c r="M397" s="34">
        <f>IF(COUNTA(A397:B397,D397:I397,L397)=0,"",IF(B397="","案件番号がありません",IF(ISNA(MATCH(B397,'案件'!$A$6:$A$105,0)),"案件シートに無い番号です",IF(NOT(OR(D397="材料費",D397="労務費",D397="外注費",D397="経費")),"費目を4つから選んでください",IF(K397="",IF(AND(ISNUMBER(F397),NOT(ISNUMBER(J397))),IF(D397="労務費","単価がありません（設定の作業者名と同じ書き方に）","単価がありません"),IF(AND(ISNUMBER(J397),NOT(ISNUMBER(F397))),"数量がありません","金額がありません")),IF(NOT(ISNUMBER(A397)),"日付がありません（月別集計に入りません）",IF(AND(ISNUMBER(F397),ISNUMBER(J397),ISNUMBER(I397)),"数量×単価を使いました（金額の欄は使っていません）","")))))))</f>
        <v/>
      </c>
      <c r="N397" s="91">
        <f>IF(AND(B397&lt;&gt;"",B397='案件カード'!$C$3),COUNTIF($B$5:B397,'案件カード'!$C$3),"")</f>
        <v/>
      </c>
      <c r="O397" s="91">
        <f>IF(ISNUMBER(K397),IF(B397="",K397,IF(AND(ISNUMBER(MATCH(B397,'案件'!$A$6:$A$105,0)),OR(D397="材料費",D397="労務費",D397="外注費",D397="経費")),0,K397)),0)</f>
        <v/>
      </c>
    </row>
    <row r="398" ht="16" customHeight="1">
      <c r="A398" s="35" t="n"/>
      <c r="B398" s="36" t="n"/>
      <c r="C398" s="37">
        <f>IF(B398="","",IFERROR(INDEX('案件'!$B$6:$B$105,MATCH(B398,'案件'!$A$6:$A$105,0))&amp;"","（案件シートに無い番号）"))</f>
        <v/>
      </c>
      <c r="D398" s="36" t="n"/>
      <c r="E398" s="38" t="n"/>
      <c r="F398" s="39" t="n"/>
      <c r="G398" s="36" t="n"/>
      <c r="H398" s="40" t="n"/>
      <c r="I398" s="40" t="n"/>
      <c r="J398" s="41">
        <f>IF(ISNUMBER(H398),H398,IF(AND(D398="労務費",TRIM(E398)&lt;&gt;""),IFERROR(INDEX('設定'!$G$12:$G$31,MATCH(TRIM(E398),'設定'!$J$12:$J$31,0)),""),""))</f>
        <v/>
      </c>
      <c r="K398" s="30">
        <f>IF(AND(ISNUMBER(F398),ISNUMBER(J398)),ROUND(F398*J398,0),IF(ISNUMBER(I398),I398,""))</f>
        <v/>
      </c>
      <c r="L398" s="33" t="n"/>
      <c r="M398" s="34">
        <f>IF(COUNTA(A398:B398,D398:I398,L398)=0,"",IF(B398="","案件番号がありません",IF(ISNA(MATCH(B398,'案件'!$A$6:$A$105,0)),"案件シートに無い番号です",IF(NOT(OR(D398="材料費",D398="労務費",D398="外注費",D398="経費")),"費目を4つから選んでください",IF(K398="",IF(AND(ISNUMBER(F398),NOT(ISNUMBER(J398))),IF(D398="労務費","単価がありません（設定の作業者名と同じ書き方に）","単価がありません"),IF(AND(ISNUMBER(J398),NOT(ISNUMBER(F398))),"数量がありません","金額がありません")),IF(NOT(ISNUMBER(A398)),"日付がありません（月別集計に入りません）",IF(AND(ISNUMBER(F398),ISNUMBER(J398),ISNUMBER(I398)),"数量×単価を使いました（金額の欄は使っていません）","")))))))</f>
        <v/>
      </c>
      <c r="N398" s="91">
        <f>IF(AND(B398&lt;&gt;"",B398='案件カード'!$C$3),COUNTIF($B$5:B398,'案件カード'!$C$3),"")</f>
        <v/>
      </c>
      <c r="O398" s="91">
        <f>IF(ISNUMBER(K398),IF(B398="",K398,IF(AND(ISNUMBER(MATCH(B398,'案件'!$A$6:$A$105,0)),OR(D398="材料費",D398="労務費",D398="外注費",D398="経費")),0,K398)),0)</f>
        <v/>
      </c>
    </row>
    <row r="399" ht="16" customHeight="1">
      <c r="A399" s="35" t="n"/>
      <c r="B399" s="36" t="n"/>
      <c r="C399" s="37">
        <f>IF(B399="","",IFERROR(INDEX('案件'!$B$6:$B$105,MATCH(B399,'案件'!$A$6:$A$105,0))&amp;"","（案件シートに無い番号）"))</f>
        <v/>
      </c>
      <c r="D399" s="36" t="n"/>
      <c r="E399" s="38" t="n"/>
      <c r="F399" s="39" t="n"/>
      <c r="G399" s="36" t="n"/>
      <c r="H399" s="40" t="n"/>
      <c r="I399" s="40" t="n"/>
      <c r="J399" s="41">
        <f>IF(ISNUMBER(H399),H399,IF(AND(D399="労務費",TRIM(E399)&lt;&gt;""),IFERROR(INDEX('設定'!$G$12:$G$31,MATCH(TRIM(E399),'設定'!$J$12:$J$31,0)),""),""))</f>
        <v/>
      </c>
      <c r="K399" s="30">
        <f>IF(AND(ISNUMBER(F399),ISNUMBER(J399)),ROUND(F399*J399,0),IF(ISNUMBER(I399),I399,""))</f>
        <v/>
      </c>
      <c r="L399" s="33" t="n"/>
      <c r="M399" s="34">
        <f>IF(COUNTA(A399:B399,D399:I399,L399)=0,"",IF(B399="","案件番号がありません",IF(ISNA(MATCH(B399,'案件'!$A$6:$A$105,0)),"案件シートに無い番号です",IF(NOT(OR(D399="材料費",D399="労務費",D399="外注費",D399="経費")),"費目を4つから選んでください",IF(K399="",IF(AND(ISNUMBER(F399),NOT(ISNUMBER(J399))),IF(D399="労務費","単価がありません（設定の作業者名と同じ書き方に）","単価がありません"),IF(AND(ISNUMBER(J399),NOT(ISNUMBER(F399))),"数量がありません","金額がありません")),IF(NOT(ISNUMBER(A399)),"日付がありません（月別集計に入りません）",IF(AND(ISNUMBER(F399),ISNUMBER(J399),ISNUMBER(I399)),"数量×単価を使いました（金額の欄は使っていません）","")))))))</f>
        <v/>
      </c>
      <c r="N399" s="91">
        <f>IF(AND(B399&lt;&gt;"",B399='案件カード'!$C$3),COUNTIF($B$5:B399,'案件カード'!$C$3),"")</f>
        <v/>
      </c>
      <c r="O399" s="91">
        <f>IF(ISNUMBER(K399),IF(B399="",K399,IF(AND(ISNUMBER(MATCH(B399,'案件'!$A$6:$A$105,0)),OR(D399="材料費",D399="労務費",D399="外注費",D399="経費")),0,K399)),0)</f>
        <v/>
      </c>
    </row>
    <row r="400" ht="16" customHeight="1">
      <c r="A400" s="35" t="n"/>
      <c r="B400" s="36" t="n"/>
      <c r="C400" s="37">
        <f>IF(B400="","",IFERROR(INDEX('案件'!$B$6:$B$105,MATCH(B400,'案件'!$A$6:$A$105,0))&amp;"","（案件シートに無い番号）"))</f>
        <v/>
      </c>
      <c r="D400" s="36" t="n"/>
      <c r="E400" s="38" t="n"/>
      <c r="F400" s="39" t="n"/>
      <c r="G400" s="36" t="n"/>
      <c r="H400" s="40" t="n"/>
      <c r="I400" s="40" t="n"/>
      <c r="J400" s="41">
        <f>IF(ISNUMBER(H400),H400,IF(AND(D400="労務費",TRIM(E400)&lt;&gt;""),IFERROR(INDEX('設定'!$G$12:$G$31,MATCH(TRIM(E400),'設定'!$J$12:$J$31,0)),""),""))</f>
        <v/>
      </c>
      <c r="K400" s="30">
        <f>IF(AND(ISNUMBER(F400),ISNUMBER(J400)),ROUND(F400*J400,0),IF(ISNUMBER(I400),I400,""))</f>
        <v/>
      </c>
      <c r="L400" s="33" t="n"/>
      <c r="M400" s="34">
        <f>IF(COUNTA(A400:B400,D400:I400,L400)=0,"",IF(B400="","案件番号がありません",IF(ISNA(MATCH(B400,'案件'!$A$6:$A$105,0)),"案件シートに無い番号です",IF(NOT(OR(D400="材料費",D400="労務費",D400="外注費",D400="経費")),"費目を4つから選んでください",IF(K400="",IF(AND(ISNUMBER(F400),NOT(ISNUMBER(J400))),IF(D400="労務費","単価がありません（設定の作業者名と同じ書き方に）","単価がありません"),IF(AND(ISNUMBER(J400),NOT(ISNUMBER(F400))),"数量がありません","金額がありません")),IF(NOT(ISNUMBER(A400)),"日付がありません（月別集計に入りません）",IF(AND(ISNUMBER(F400),ISNUMBER(J400),ISNUMBER(I400)),"数量×単価を使いました（金額の欄は使っていません）","")))))))</f>
        <v/>
      </c>
      <c r="N400" s="91">
        <f>IF(AND(B400&lt;&gt;"",B400='案件カード'!$C$3),COUNTIF($B$5:B400,'案件カード'!$C$3),"")</f>
        <v/>
      </c>
      <c r="O400" s="91">
        <f>IF(ISNUMBER(K400),IF(B400="",K400,IF(AND(ISNUMBER(MATCH(B400,'案件'!$A$6:$A$105,0)),OR(D400="材料費",D400="労務費",D400="外注費",D400="経費")),0,K400)),0)</f>
        <v/>
      </c>
    </row>
    <row r="401" ht="16" customHeight="1">
      <c r="A401" s="35" t="n"/>
      <c r="B401" s="36" t="n"/>
      <c r="C401" s="37">
        <f>IF(B401="","",IFERROR(INDEX('案件'!$B$6:$B$105,MATCH(B401,'案件'!$A$6:$A$105,0))&amp;"","（案件シートに無い番号）"))</f>
        <v/>
      </c>
      <c r="D401" s="36" t="n"/>
      <c r="E401" s="38" t="n"/>
      <c r="F401" s="39" t="n"/>
      <c r="G401" s="36" t="n"/>
      <c r="H401" s="40" t="n"/>
      <c r="I401" s="40" t="n"/>
      <c r="J401" s="41">
        <f>IF(ISNUMBER(H401),H401,IF(AND(D401="労務費",TRIM(E401)&lt;&gt;""),IFERROR(INDEX('設定'!$G$12:$G$31,MATCH(TRIM(E401),'設定'!$J$12:$J$31,0)),""),""))</f>
        <v/>
      </c>
      <c r="K401" s="30">
        <f>IF(AND(ISNUMBER(F401),ISNUMBER(J401)),ROUND(F401*J401,0),IF(ISNUMBER(I401),I401,""))</f>
        <v/>
      </c>
      <c r="L401" s="33" t="n"/>
      <c r="M401" s="34">
        <f>IF(COUNTA(A401:B401,D401:I401,L401)=0,"",IF(B401="","案件番号がありません",IF(ISNA(MATCH(B401,'案件'!$A$6:$A$105,0)),"案件シートに無い番号です",IF(NOT(OR(D401="材料費",D401="労務費",D401="外注費",D401="経費")),"費目を4つから選んでください",IF(K401="",IF(AND(ISNUMBER(F401),NOT(ISNUMBER(J401))),IF(D401="労務費","単価がありません（設定の作業者名と同じ書き方に）","単価がありません"),IF(AND(ISNUMBER(J401),NOT(ISNUMBER(F401))),"数量がありません","金額がありません")),IF(NOT(ISNUMBER(A401)),"日付がありません（月別集計に入りません）",IF(AND(ISNUMBER(F401),ISNUMBER(J401),ISNUMBER(I401)),"数量×単価を使いました（金額の欄は使っていません）","")))))))</f>
        <v/>
      </c>
      <c r="N401" s="91">
        <f>IF(AND(B401&lt;&gt;"",B401='案件カード'!$C$3),COUNTIF($B$5:B401,'案件カード'!$C$3),"")</f>
        <v/>
      </c>
      <c r="O401" s="91">
        <f>IF(ISNUMBER(K401),IF(B401="",K401,IF(AND(ISNUMBER(MATCH(B401,'案件'!$A$6:$A$105,0)),OR(D401="材料費",D401="労務費",D401="外注費",D401="経費")),0,K401)),0)</f>
        <v/>
      </c>
    </row>
    <row r="402" ht="16" customHeight="1">
      <c r="A402" s="35" t="n"/>
      <c r="B402" s="36" t="n"/>
      <c r="C402" s="37">
        <f>IF(B402="","",IFERROR(INDEX('案件'!$B$6:$B$105,MATCH(B402,'案件'!$A$6:$A$105,0))&amp;"","（案件シートに無い番号）"))</f>
        <v/>
      </c>
      <c r="D402" s="36" t="n"/>
      <c r="E402" s="38" t="n"/>
      <c r="F402" s="39" t="n"/>
      <c r="G402" s="36" t="n"/>
      <c r="H402" s="40" t="n"/>
      <c r="I402" s="40" t="n"/>
      <c r="J402" s="41">
        <f>IF(ISNUMBER(H402),H402,IF(AND(D402="労務費",TRIM(E402)&lt;&gt;""),IFERROR(INDEX('設定'!$G$12:$G$31,MATCH(TRIM(E402),'設定'!$J$12:$J$31,0)),""),""))</f>
        <v/>
      </c>
      <c r="K402" s="30">
        <f>IF(AND(ISNUMBER(F402),ISNUMBER(J402)),ROUND(F402*J402,0),IF(ISNUMBER(I402),I402,""))</f>
        <v/>
      </c>
      <c r="L402" s="33" t="n"/>
      <c r="M402" s="34">
        <f>IF(COUNTA(A402:B402,D402:I402,L402)=0,"",IF(B402="","案件番号がありません",IF(ISNA(MATCH(B402,'案件'!$A$6:$A$105,0)),"案件シートに無い番号です",IF(NOT(OR(D402="材料費",D402="労務費",D402="外注費",D402="経費")),"費目を4つから選んでください",IF(K402="",IF(AND(ISNUMBER(F402),NOT(ISNUMBER(J402))),IF(D402="労務費","単価がありません（設定の作業者名と同じ書き方に）","単価がありません"),IF(AND(ISNUMBER(J402),NOT(ISNUMBER(F402))),"数量がありません","金額がありません")),IF(NOT(ISNUMBER(A402)),"日付がありません（月別集計に入りません）",IF(AND(ISNUMBER(F402),ISNUMBER(J402),ISNUMBER(I402)),"数量×単価を使いました（金額の欄は使っていません）","")))))))</f>
        <v/>
      </c>
      <c r="N402" s="91">
        <f>IF(AND(B402&lt;&gt;"",B402='案件カード'!$C$3),COUNTIF($B$5:B402,'案件カード'!$C$3),"")</f>
        <v/>
      </c>
      <c r="O402" s="91">
        <f>IF(ISNUMBER(K402),IF(B402="",K402,IF(AND(ISNUMBER(MATCH(B402,'案件'!$A$6:$A$105,0)),OR(D402="材料費",D402="労務費",D402="外注費",D402="経費")),0,K402)),0)</f>
        <v/>
      </c>
    </row>
    <row r="403" ht="16" customHeight="1">
      <c r="A403" s="35" t="n"/>
      <c r="B403" s="36" t="n"/>
      <c r="C403" s="37">
        <f>IF(B403="","",IFERROR(INDEX('案件'!$B$6:$B$105,MATCH(B403,'案件'!$A$6:$A$105,0))&amp;"","（案件シートに無い番号）"))</f>
        <v/>
      </c>
      <c r="D403" s="36" t="n"/>
      <c r="E403" s="38" t="n"/>
      <c r="F403" s="39" t="n"/>
      <c r="G403" s="36" t="n"/>
      <c r="H403" s="40" t="n"/>
      <c r="I403" s="40" t="n"/>
      <c r="J403" s="41">
        <f>IF(ISNUMBER(H403),H403,IF(AND(D403="労務費",TRIM(E403)&lt;&gt;""),IFERROR(INDEX('設定'!$G$12:$G$31,MATCH(TRIM(E403),'設定'!$J$12:$J$31,0)),""),""))</f>
        <v/>
      </c>
      <c r="K403" s="30">
        <f>IF(AND(ISNUMBER(F403),ISNUMBER(J403)),ROUND(F403*J403,0),IF(ISNUMBER(I403),I403,""))</f>
        <v/>
      </c>
      <c r="L403" s="33" t="n"/>
      <c r="M403" s="34">
        <f>IF(COUNTA(A403:B403,D403:I403,L403)=0,"",IF(B403="","案件番号がありません",IF(ISNA(MATCH(B403,'案件'!$A$6:$A$105,0)),"案件シートに無い番号です",IF(NOT(OR(D403="材料費",D403="労務費",D403="外注費",D403="経費")),"費目を4つから選んでください",IF(K403="",IF(AND(ISNUMBER(F403),NOT(ISNUMBER(J403))),IF(D403="労務費","単価がありません（設定の作業者名と同じ書き方に）","単価がありません"),IF(AND(ISNUMBER(J403),NOT(ISNUMBER(F403))),"数量がありません","金額がありません")),IF(NOT(ISNUMBER(A403)),"日付がありません（月別集計に入りません）",IF(AND(ISNUMBER(F403),ISNUMBER(J403),ISNUMBER(I403)),"数量×単価を使いました（金額の欄は使っていません）","")))))))</f>
        <v/>
      </c>
      <c r="N403" s="91">
        <f>IF(AND(B403&lt;&gt;"",B403='案件カード'!$C$3),COUNTIF($B$5:B403,'案件カード'!$C$3),"")</f>
        <v/>
      </c>
      <c r="O403" s="91">
        <f>IF(ISNUMBER(K403),IF(B403="",K403,IF(AND(ISNUMBER(MATCH(B403,'案件'!$A$6:$A$105,0)),OR(D403="材料費",D403="労務費",D403="外注費",D403="経費")),0,K403)),0)</f>
        <v/>
      </c>
    </row>
    <row r="404" ht="16" customHeight="1">
      <c r="A404" s="35" t="n"/>
      <c r="B404" s="36" t="n"/>
      <c r="C404" s="37">
        <f>IF(B404="","",IFERROR(INDEX('案件'!$B$6:$B$105,MATCH(B404,'案件'!$A$6:$A$105,0))&amp;"","（案件シートに無い番号）"))</f>
        <v/>
      </c>
      <c r="D404" s="36" t="n"/>
      <c r="E404" s="38" t="n"/>
      <c r="F404" s="39" t="n"/>
      <c r="G404" s="36" t="n"/>
      <c r="H404" s="40" t="n"/>
      <c r="I404" s="40" t="n"/>
      <c r="J404" s="41">
        <f>IF(ISNUMBER(H404),H404,IF(AND(D404="労務費",TRIM(E404)&lt;&gt;""),IFERROR(INDEX('設定'!$G$12:$G$31,MATCH(TRIM(E404),'設定'!$J$12:$J$31,0)),""),""))</f>
        <v/>
      </c>
      <c r="K404" s="30">
        <f>IF(AND(ISNUMBER(F404),ISNUMBER(J404)),ROUND(F404*J404,0),IF(ISNUMBER(I404),I404,""))</f>
        <v/>
      </c>
      <c r="L404" s="33" t="n"/>
      <c r="M404" s="34">
        <f>IF(COUNTA(A404:B404,D404:I404,L404)=0,"",IF(B404="","案件番号がありません",IF(ISNA(MATCH(B404,'案件'!$A$6:$A$105,0)),"案件シートに無い番号です",IF(NOT(OR(D404="材料費",D404="労務費",D404="外注費",D404="経費")),"費目を4つから選んでください",IF(K404="",IF(AND(ISNUMBER(F404),NOT(ISNUMBER(J404))),IF(D404="労務費","単価がありません（設定の作業者名と同じ書き方に）","単価がありません"),IF(AND(ISNUMBER(J404),NOT(ISNUMBER(F404))),"数量がありません","金額がありません")),IF(NOT(ISNUMBER(A404)),"日付がありません（月別集計に入りません）",IF(AND(ISNUMBER(F404),ISNUMBER(J404),ISNUMBER(I404)),"数量×単価を使いました（金額の欄は使っていません）","")))))))</f>
        <v/>
      </c>
      <c r="N404" s="91">
        <f>IF(AND(B404&lt;&gt;"",B404='案件カード'!$C$3),COUNTIF($B$5:B404,'案件カード'!$C$3),"")</f>
        <v/>
      </c>
      <c r="O404" s="91">
        <f>IF(ISNUMBER(K404),IF(B404="",K404,IF(AND(ISNUMBER(MATCH(B404,'案件'!$A$6:$A$105,0)),OR(D404="材料費",D404="労務費",D404="外注費",D404="経費")),0,K404)),0)</f>
        <v/>
      </c>
    </row>
    <row r="405" ht="16" customHeight="1">
      <c r="A405" s="35" t="n"/>
      <c r="B405" s="36" t="n"/>
      <c r="C405" s="37">
        <f>IF(B405="","",IFERROR(INDEX('案件'!$B$6:$B$105,MATCH(B405,'案件'!$A$6:$A$105,0))&amp;"","（案件シートに無い番号）"))</f>
        <v/>
      </c>
      <c r="D405" s="36" t="n"/>
      <c r="E405" s="38" t="n"/>
      <c r="F405" s="39" t="n"/>
      <c r="G405" s="36" t="n"/>
      <c r="H405" s="40" t="n"/>
      <c r="I405" s="40" t="n"/>
      <c r="J405" s="41">
        <f>IF(ISNUMBER(H405),H405,IF(AND(D405="労務費",TRIM(E405)&lt;&gt;""),IFERROR(INDEX('設定'!$G$12:$G$31,MATCH(TRIM(E405),'設定'!$J$12:$J$31,0)),""),""))</f>
        <v/>
      </c>
      <c r="K405" s="30">
        <f>IF(AND(ISNUMBER(F405),ISNUMBER(J405)),ROUND(F405*J405,0),IF(ISNUMBER(I405),I405,""))</f>
        <v/>
      </c>
      <c r="L405" s="33" t="n"/>
      <c r="M405" s="34">
        <f>IF(COUNTA(A405:B405,D405:I405,L405)=0,"",IF(B405="","案件番号がありません",IF(ISNA(MATCH(B405,'案件'!$A$6:$A$105,0)),"案件シートに無い番号です",IF(NOT(OR(D405="材料費",D405="労務費",D405="外注費",D405="経費")),"費目を4つから選んでください",IF(K405="",IF(AND(ISNUMBER(F405),NOT(ISNUMBER(J405))),IF(D405="労務費","単価がありません（設定の作業者名と同じ書き方に）","単価がありません"),IF(AND(ISNUMBER(J405),NOT(ISNUMBER(F405))),"数量がありません","金額がありません")),IF(NOT(ISNUMBER(A405)),"日付がありません（月別集計に入りません）",IF(AND(ISNUMBER(F405),ISNUMBER(J405),ISNUMBER(I405)),"数量×単価を使いました（金額の欄は使っていません）","")))))))</f>
        <v/>
      </c>
      <c r="N405" s="91">
        <f>IF(AND(B405&lt;&gt;"",B405='案件カード'!$C$3),COUNTIF($B$5:B405,'案件カード'!$C$3),"")</f>
        <v/>
      </c>
      <c r="O405" s="91">
        <f>IF(ISNUMBER(K405),IF(B405="",K405,IF(AND(ISNUMBER(MATCH(B405,'案件'!$A$6:$A$105,0)),OR(D405="材料費",D405="労務費",D405="外注費",D405="経費")),0,K405)),0)</f>
        <v/>
      </c>
    </row>
    <row r="406" ht="16" customHeight="1">
      <c r="A406" s="35" t="n"/>
      <c r="B406" s="36" t="n"/>
      <c r="C406" s="37">
        <f>IF(B406="","",IFERROR(INDEX('案件'!$B$6:$B$105,MATCH(B406,'案件'!$A$6:$A$105,0))&amp;"","（案件シートに無い番号）"))</f>
        <v/>
      </c>
      <c r="D406" s="36" t="n"/>
      <c r="E406" s="38" t="n"/>
      <c r="F406" s="39" t="n"/>
      <c r="G406" s="36" t="n"/>
      <c r="H406" s="40" t="n"/>
      <c r="I406" s="40" t="n"/>
      <c r="J406" s="41">
        <f>IF(ISNUMBER(H406),H406,IF(AND(D406="労務費",TRIM(E406)&lt;&gt;""),IFERROR(INDEX('設定'!$G$12:$G$31,MATCH(TRIM(E406),'設定'!$J$12:$J$31,0)),""),""))</f>
        <v/>
      </c>
      <c r="K406" s="30">
        <f>IF(AND(ISNUMBER(F406),ISNUMBER(J406)),ROUND(F406*J406,0),IF(ISNUMBER(I406),I406,""))</f>
        <v/>
      </c>
      <c r="L406" s="33" t="n"/>
      <c r="M406" s="34">
        <f>IF(COUNTA(A406:B406,D406:I406,L406)=0,"",IF(B406="","案件番号がありません",IF(ISNA(MATCH(B406,'案件'!$A$6:$A$105,0)),"案件シートに無い番号です",IF(NOT(OR(D406="材料費",D406="労務費",D406="外注費",D406="経費")),"費目を4つから選んでください",IF(K406="",IF(AND(ISNUMBER(F406),NOT(ISNUMBER(J406))),IF(D406="労務費","単価がありません（設定の作業者名と同じ書き方に）","単価がありません"),IF(AND(ISNUMBER(J406),NOT(ISNUMBER(F406))),"数量がありません","金額がありません")),IF(NOT(ISNUMBER(A406)),"日付がありません（月別集計に入りません）",IF(AND(ISNUMBER(F406),ISNUMBER(J406),ISNUMBER(I406)),"数量×単価を使いました（金額の欄は使っていません）","")))))))</f>
        <v/>
      </c>
      <c r="N406" s="91">
        <f>IF(AND(B406&lt;&gt;"",B406='案件カード'!$C$3),COUNTIF($B$5:B406,'案件カード'!$C$3),"")</f>
        <v/>
      </c>
      <c r="O406" s="91">
        <f>IF(ISNUMBER(K406),IF(B406="",K406,IF(AND(ISNUMBER(MATCH(B406,'案件'!$A$6:$A$105,0)),OR(D406="材料費",D406="労務費",D406="外注費",D406="経費")),0,K406)),0)</f>
        <v/>
      </c>
    </row>
    <row r="407" ht="16" customHeight="1">
      <c r="A407" s="35" t="n"/>
      <c r="B407" s="36" t="n"/>
      <c r="C407" s="37">
        <f>IF(B407="","",IFERROR(INDEX('案件'!$B$6:$B$105,MATCH(B407,'案件'!$A$6:$A$105,0))&amp;"","（案件シートに無い番号）"))</f>
        <v/>
      </c>
      <c r="D407" s="36" t="n"/>
      <c r="E407" s="38" t="n"/>
      <c r="F407" s="39" t="n"/>
      <c r="G407" s="36" t="n"/>
      <c r="H407" s="40" t="n"/>
      <c r="I407" s="40" t="n"/>
      <c r="J407" s="41">
        <f>IF(ISNUMBER(H407),H407,IF(AND(D407="労務費",TRIM(E407)&lt;&gt;""),IFERROR(INDEX('設定'!$G$12:$G$31,MATCH(TRIM(E407),'設定'!$J$12:$J$31,0)),""),""))</f>
        <v/>
      </c>
      <c r="K407" s="30">
        <f>IF(AND(ISNUMBER(F407),ISNUMBER(J407)),ROUND(F407*J407,0),IF(ISNUMBER(I407),I407,""))</f>
        <v/>
      </c>
      <c r="L407" s="33" t="n"/>
      <c r="M407" s="34">
        <f>IF(COUNTA(A407:B407,D407:I407,L407)=0,"",IF(B407="","案件番号がありません",IF(ISNA(MATCH(B407,'案件'!$A$6:$A$105,0)),"案件シートに無い番号です",IF(NOT(OR(D407="材料費",D407="労務費",D407="外注費",D407="経費")),"費目を4つから選んでください",IF(K407="",IF(AND(ISNUMBER(F407),NOT(ISNUMBER(J407))),IF(D407="労務費","単価がありません（設定の作業者名と同じ書き方に）","単価がありません"),IF(AND(ISNUMBER(J407),NOT(ISNUMBER(F407))),"数量がありません","金額がありません")),IF(NOT(ISNUMBER(A407)),"日付がありません（月別集計に入りません）",IF(AND(ISNUMBER(F407),ISNUMBER(J407),ISNUMBER(I407)),"数量×単価を使いました（金額の欄は使っていません）","")))))))</f>
        <v/>
      </c>
      <c r="N407" s="91">
        <f>IF(AND(B407&lt;&gt;"",B407='案件カード'!$C$3),COUNTIF($B$5:B407,'案件カード'!$C$3),"")</f>
        <v/>
      </c>
      <c r="O407" s="91">
        <f>IF(ISNUMBER(K407),IF(B407="",K407,IF(AND(ISNUMBER(MATCH(B407,'案件'!$A$6:$A$105,0)),OR(D407="材料費",D407="労務費",D407="外注費",D407="経費")),0,K407)),0)</f>
        <v/>
      </c>
    </row>
    <row r="408" ht="16" customHeight="1">
      <c r="A408" s="35" t="n"/>
      <c r="B408" s="36" t="n"/>
      <c r="C408" s="37">
        <f>IF(B408="","",IFERROR(INDEX('案件'!$B$6:$B$105,MATCH(B408,'案件'!$A$6:$A$105,0))&amp;"","（案件シートに無い番号）"))</f>
        <v/>
      </c>
      <c r="D408" s="36" t="n"/>
      <c r="E408" s="38" t="n"/>
      <c r="F408" s="39" t="n"/>
      <c r="G408" s="36" t="n"/>
      <c r="H408" s="40" t="n"/>
      <c r="I408" s="40" t="n"/>
      <c r="J408" s="41">
        <f>IF(ISNUMBER(H408),H408,IF(AND(D408="労務費",TRIM(E408)&lt;&gt;""),IFERROR(INDEX('設定'!$G$12:$G$31,MATCH(TRIM(E408),'設定'!$J$12:$J$31,0)),""),""))</f>
        <v/>
      </c>
      <c r="K408" s="30">
        <f>IF(AND(ISNUMBER(F408),ISNUMBER(J408)),ROUND(F408*J408,0),IF(ISNUMBER(I408),I408,""))</f>
        <v/>
      </c>
      <c r="L408" s="33" t="n"/>
      <c r="M408" s="34">
        <f>IF(COUNTA(A408:B408,D408:I408,L408)=0,"",IF(B408="","案件番号がありません",IF(ISNA(MATCH(B408,'案件'!$A$6:$A$105,0)),"案件シートに無い番号です",IF(NOT(OR(D408="材料費",D408="労務費",D408="外注費",D408="経費")),"費目を4つから選んでください",IF(K408="",IF(AND(ISNUMBER(F408),NOT(ISNUMBER(J408))),IF(D408="労務費","単価がありません（設定の作業者名と同じ書き方に）","単価がありません"),IF(AND(ISNUMBER(J408),NOT(ISNUMBER(F408))),"数量がありません","金額がありません")),IF(NOT(ISNUMBER(A408)),"日付がありません（月別集計に入りません）",IF(AND(ISNUMBER(F408),ISNUMBER(J408),ISNUMBER(I408)),"数量×単価を使いました（金額の欄は使っていません）","")))))))</f>
        <v/>
      </c>
      <c r="N408" s="91">
        <f>IF(AND(B408&lt;&gt;"",B408='案件カード'!$C$3),COUNTIF($B$5:B408,'案件カード'!$C$3),"")</f>
        <v/>
      </c>
      <c r="O408" s="91">
        <f>IF(ISNUMBER(K408),IF(B408="",K408,IF(AND(ISNUMBER(MATCH(B408,'案件'!$A$6:$A$105,0)),OR(D408="材料費",D408="労務費",D408="外注費",D408="経費")),0,K408)),0)</f>
        <v/>
      </c>
    </row>
    <row r="409" ht="16" customHeight="1">
      <c r="A409" s="35" t="n"/>
      <c r="B409" s="36" t="n"/>
      <c r="C409" s="37">
        <f>IF(B409="","",IFERROR(INDEX('案件'!$B$6:$B$105,MATCH(B409,'案件'!$A$6:$A$105,0))&amp;"","（案件シートに無い番号）"))</f>
        <v/>
      </c>
      <c r="D409" s="36" t="n"/>
      <c r="E409" s="38" t="n"/>
      <c r="F409" s="39" t="n"/>
      <c r="G409" s="36" t="n"/>
      <c r="H409" s="40" t="n"/>
      <c r="I409" s="40" t="n"/>
      <c r="J409" s="41">
        <f>IF(ISNUMBER(H409),H409,IF(AND(D409="労務費",TRIM(E409)&lt;&gt;""),IFERROR(INDEX('設定'!$G$12:$G$31,MATCH(TRIM(E409),'設定'!$J$12:$J$31,0)),""),""))</f>
        <v/>
      </c>
      <c r="K409" s="30">
        <f>IF(AND(ISNUMBER(F409),ISNUMBER(J409)),ROUND(F409*J409,0),IF(ISNUMBER(I409),I409,""))</f>
        <v/>
      </c>
      <c r="L409" s="33" t="n"/>
      <c r="M409" s="34">
        <f>IF(COUNTA(A409:B409,D409:I409,L409)=0,"",IF(B409="","案件番号がありません",IF(ISNA(MATCH(B409,'案件'!$A$6:$A$105,0)),"案件シートに無い番号です",IF(NOT(OR(D409="材料費",D409="労務費",D409="外注費",D409="経費")),"費目を4つから選んでください",IF(K409="",IF(AND(ISNUMBER(F409),NOT(ISNUMBER(J409))),IF(D409="労務費","単価がありません（設定の作業者名と同じ書き方に）","単価がありません"),IF(AND(ISNUMBER(J409),NOT(ISNUMBER(F409))),"数量がありません","金額がありません")),IF(NOT(ISNUMBER(A409)),"日付がありません（月別集計に入りません）",IF(AND(ISNUMBER(F409),ISNUMBER(J409),ISNUMBER(I409)),"数量×単価を使いました（金額の欄は使っていません）","")))))))</f>
        <v/>
      </c>
      <c r="N409" s="91">
        <f>IF(AND(B409&lt;&gt;"",B409='案件カード'!$C$3),COUNTIF($B$5:B409,'案件カード'!$C$3),"")</f>
        <v/>
      </c>
      <c r="O409" s="91">
        <f>IF(ISNUMBER(K409),IF(B409="",K409,IF(AND(ISNUMBER(MATCH(B409,'案件'!$A$6:$A$105,0)),OR(D409="材料費",D409="労務費",D409="外注費",D409="経費")),0,K409)),0)</f>
        <v/>
      </c>
    </row>
    <row r="410" ht="16" customHeight="1">
      <c r="A410" s="35" t="n"/>
      <c r="B410" s="36" t="n"/>
      <c r="C410" s="37">
        <f>IF(B410="","",IFERROR(INDEX('案件'!$B$6:$B$105,MATCH(B410,'案件'!$A$6:$A$105,0))&amp;"","（案件シートに無い番号）"))</f>
        <v/>
      </c>
      <c r="D410" s="36" t="n"/>
      <c r="E410" s="38" t="n"/>
      <c r="F410" s="39" t="n"/>
      <c r="G410" s="36" t="n"/>
      <c r="H410" s="40" t="n"/>
      <c r="I410" s="40" t="n"/>
      <c r="J410" s="41">
        <f>IF(ISNUMBER(H410),H410,IF(AND(D410="労務費",TRIM(E410)&lt;&gt;""),IFERROR(INDEX('設定'!$G$12:$G$31,MATCH(TRIM(E410),'設定'!$J$12:$J$31,0)),""),""))</f>
        <v/>
      </c>
      <c r="K410" s="30">
        <f>IF(AND(ISNUMBER(F410),ISNUMBER(J410)),ROUND(F410*J410,0),IF(ISNUMBER(I410),I410,""))</f>
        <v/>
      </c>
      <c r="L410" s="33" t="n"/>
      <c r="M410" s="34">
        <f>IF(COUNTA(A410:B410,D410:I410,L410)=0,"",IF(B410="","案件番号がありません",IF(ISNA(MATCH(B410,'案件'!$A$6:$A$105,0)),"案件シートに無い番号です",IF(NOT(OR(D410="材料費",D410="労務費",D410="外注費",D410="経費")),"費目を4つから選んでください",IF(K410="",IF(AND(ISNUMBER(F410),NOT(ISNUMBER(J410))),IF(D410="労務費","単価がありません（設定の作業者名と同じ書き方に）","単価がありません"),IF(AND(ISNUMBER(J410),NOT(ISNUMBER(F410))),"数量がありません","金額がありません")),IF(NOT(ISNUMBER(A410)),"日付がありません（月別集計に入りません）",IF(AND(ISNUMBER(F410),ISNUMBER(J410),ISNUMBER(I410)),"数量×単価を使いました（金額の欄は使っていません）","")))))))</f>
        <v/>
      </c>
      <c r="N410" s="91">
        <f>IF(AND(B410&lt;&gt;"",B410='案件カード'!$C$3),COUNTIF($B$5:B410,'案件カード'!$C$3),"")</f>
        <v/>
      </c>
      <c r="O410" s="91">
        <f>IF(ISNUMBER(K410),IF(B410="",K410,IF(AND(ISNUMBER(MATCH(B410,'案件'!$A$6:$A$105,0)),OR(D410="材料費",D410="労務費",D410="外注費",D410="経費")),0,K410)),0)</f>
        <v/>
      </c>
    </row>
    <row r="411" ht="16" customHeight="1">
      <c r="A411" s="35" t="n"/>
      <c r="B411" s="36" t="n"/>
      <c r="C411" s="37">
        <f>IF(B411="","",IFERROR(INDEX('案件'!$B$6:$B$105,MATCH(B411,'案件'!$A$6:$A$105,0))&amp;"","（案件シートに無い番号）"))</f>
        <v/>
      </c>
      <c r="D411" s="36" t="n"/>
      <c r="E411" s="38" t="n"/>
      <c r="F411" s="39" t="n"/>
      <c r="G411" s="36" t="n"/>
      <c r="H411" s="40" t="n"/>
      <c r="I411" s="40" t="n"/>
      <c r="J411" s="41">
        <f>IF(ISNUMBER(H411),H411,IF(AND(D411="労務費",TRIM(E411)&lt;&gt;""),IFERROR(INDEX('設定'!$G$12:$G$31,MATCH(TRIM(E411),'設定'!$J$12:$J$31,0)),""),""))</f>
        <v/>
      </c>
      <c r="K411" s="30">
        <f>IF(AND(ISNUMBER(F411),ISNUMBER(J411)),ROUND(F411*J411,0),IF(ISNUMBER(I411),I411,""))</f>
        <v/>
      </c>
      <c r="L411" s="33" t="n"/>
      <c r="M411" s="34">
        <f>IF(COUNTA(A411:B411,D411:I411,L411)=0,"",IF(B411="","案件番号がありません",IF(ISNA(MATCH(B411,'案件'!$A$6:$A$105,0)),"案件シートに無い番号です",IF(NOT(OR(D411="材料費",D411="労務費",D411="外注費",D411="経費")),"費目を4つから選んでください",IF(K411="",IF(AND(ISNUMBER(F411),NOT(ISNUMBER(J411))),IF(D411="労務費","単価がありません（設定の作業者名と同じ書き方に）","単価がありません"),IF(AND(ISNUMBER(J411),NOT(ISNUMBER(F411))),"数量がありません","金額がありません")),IF(NOT(ISNUMBER(A411)),"日付がありません（月別集計に入りません）",IF(AND(ISNUMBER(F411),ISNUMBER(J411),ISNUMBER(I411)),"数量×単価を使いました（金額の欄は使っていません）","")))))))</f>
        <v/>
      </c>
      <c r="N411" s="91">
        <f>IF(AND(B411&lt;&gt;"",B411='案件カード'!$C$3),COUNTIF($B$5:B411,'案件カード'!$C$3),"")</f>
        <v/>
      </c>
      <c r="O411" s="91">
        <f>IF(ISNUMBER(K411),IF(B411="",K411,IF(AND(ISNUMBER(MATCH(B411,'案件'!$A$6:$A$105,0)),OR(D411="材料費",D411="労務費",D411="外注費",D411="経費")),0,K411)),0)</f>
        <v/>
      </c>
    </row>
    <row r="412" ht="16" customHeight="1">
      <c r="A412" s="35" t="n"/>
      <c r="B412" s="36" t="n"/>
      <c r="C412" s="37">
        <f>IF(B412="","",IFERROR(INDEX('案件'!$B$6:$B$105,MATCH(B412,'案件'!$A$6:$A$105,0))&amp;"","（案件シートに無い番号）"))</f>
        <v/>
      </c>
      <c r="D412" s="36" t="n"/>
      <c r="E412" s="38" t="n"/>
      <c r="F412" s="39" t="n"/>
      <c r="G412" s="36" t="n"/>
      <c r="H412" s="40" t="n"/>
      <c r="I412" s="40" t="n"/>
      <c r="J412" s="41">
        <f>IF(ISNUMBER(H412),H412,IF(AND(D412="労務費",TRIM(E412)&lt;&gt;""),IFERROR(INDEX('設定'!$G$12:$G$31,MATCH(TRIM(E412),'設定'!$J$12:$J$31,0)),""),""))</f>
        <v/>
      </c>
      <c r="K412" s="30">
        <f>IF(AND(ISNUMBER(F412),ISNUMBER(J412)),ROUND(F412*J412,0),IF(ISNUMBER(I412),I412,""))</f>
        <v/>
      </c>
      <c r="L412" s="33" t="n"/>
      <c r="M412" s="34">
        <f>IF(COUNTA(A412:B412,D412:I412,L412)=0,"",IF(B412="","案件番号がありません",IF(ISNA(MATCH(B412,'案件'!$A$6:$A$105,0)),"案件シートに無い番号です",IF(NOT(OR(D412="材料費",D412="労務費",D412="外注費",D412="経費")),"費目を4つから選んでください",IF(K412="",IF(AND(ISNUMBER(F412),NOT(ISNUMBER(J412))),IF(D412="労務費","単価がありません（設定の作業者名と同じ書き方に）","単価がありません"),IF(AND(ISNUMBER(J412),NOT(ISNUMBER(F412))),"数量がありません","金額がありません")),IF(NOT(ISNUMBER(A412)),"日付がありません（月別集計に入りません）",IF(AND(ISNUMBER(F412),ISNUMBER(J412),ISNUMBER(I412)),"数量×単価を使いました（金額の欄は使っていません）","")))))))</f>
        <v/>
      </c>
      <c r="N412" s="91">
        <f>IF(AND(B412&lt;&gt;"",B412='案件カード'!$C$3),COUNTIF($B$5:B412,'案件カード'!$C$3),"")</f>
        <v/>
      </c>
      <c r="O412" s="91">
        <f>IF(ISNUMBER(K412),IF(B412="",K412,IF(AND(ISNUMBER(MATCH(B412,'案件'!$A$6:$A$105,0)),OR(D412="材料費",D412="労務費",D412="外注費",D412="経費")),0,K412)),0)</f>
        <v/>
      </c>
    </row>
    <row r="413" ht="16" customHeight="1">
      <c r="A413" s="35" t="n"/>
      <c r="B413" s="36" t="n"/>
      <c r="C413" s="37">
        <f>IF(B413="","",IFERROR(INDEX('案件'!$B$6:$B$105,MATCH(B413,'案件'!$A$6:$A$105,0))&amp;"","（案件シートに無い番号）"))</f>
        <v/>
      </c>
      <c r="D413" s="36" t="n"/>
      <c r="E413" s="38" t="n"/>
      <c r="F413" s="39" t="n"/>
      <c r="G413" s="36" t="n"/>
      <c r="H413" s="40" t="n"/>
      <c r="I413" s="40" t="n"/>
      <c r="J413" s="41">
        <f>IF(ISNUMBER(H413),H413,IF(AND(D413="労務費",TRIM(E413)&lt;&gt;""),IFERROR(INDEX('設定'!$G$12:$G$31,MATCH(TRIM(E413),'設定'!$J$12:$J$31,0)),""),""))</f>
        <v/>
      </c>
      <c r="K413" s="30">
        <f>IF(AND(ISNUMBER(F413),ISNUMBER(J413)),ROUND(F413*J413,0),IF(ISNUMBER(I413),I413,""))</f>
        <v/>
      </c>
      <c r="L413" s="33" t="n"/>
      <c r="M413" s="34">
        <f>IF(COUNTA(A413:B413,D413:I413,L413)=0,"",IF(B413="","案件番号がありません",IF(ISNA(MATCH(B413,'案件'!$A$6:$A$105,0)),"案件シートに無い番号です",IF(NOT(OR(D413="材料費",D413="労務費",D413="外注費",D413="経費")),"費目を4つから選んでください",IF(K413="",IF(AND(ISNUMBER(F413),NOT(ISNUMBER(J413))),IF(D413="労務費","単価がありません（設定の作業者名と同じ書き方に）","単価がありません"),IF(AND(ISNUMBER(J413),NOT(ISNUMBER(F413))),"数量がありません","金額がありません")),IF(NOT(ISNUMBER(A413)),"日付がありません（月別集計に入りません）",IF(AND(ISNUMBER(F413),ISNUMBER(J413),ISNUMBER(I413)),"数量×単価を使いました（金額の欄は使っていません）","")))))))</f>
        <v/>
      </c>
      <c r="N413" s="91">
        <f>IF(AND(B413&lt;&gt;"",B413='案件カード'!$C$3),COUNTIF($B$5:B413,'案件カード'!$C$3),"")</f>
        <v/>
      </c>
      <c r="O413" s="91">
        <f>IF(ISNUMBER(K413),IF(B413="",K413,IF(AND(ISNUMBER(MATCH(B413,'案件'!$A$6:$A$105,0)),OR(D413="材料費",D413="労務費",D413="外注費",D413="経費")),0,K413)),0)</f>
        <v/>
      </c>
    </row>
    <row r="414" ht="16" customHeight="1">
      <c r="A414" s="35" t="n"/>
      <c r="B414" s="36" t="n"/>
      <c r="C414" s="37">
        <f>IF(B414="","",IFERROR(INDEX('案件'!$B$6:$B$105,MATCH(B414,'案件'!$A$6:$A$105,0))&amp;"","（案件シートに無い番号）"))</f>
        <v/>
      </c>
      <c r="D414" s="36" t="n"/>
      <c r="E414" s="38" t="n"/>
      <c r="F414" s="39" t="n"/>
      <c r="G414" s="36" t="n"/>
      <c r="H414" s="40" t="n"/>
      <c r="I414" s="40" t="n"/>
      <c r="J414" s="41">
        <f>IF(ISNUMBER(H414),H414,IF(AND(D414="労務費",TRIM(E414)&lt;&gt;""),IFERROR(INDEX('設定'!$G$12:$G$31,MATCH(TRIM(E414),'設定'!$J$12:$J$31,0)),""),""))</f>
        <v/>
      </c>
      <c r="K414" s="30">
        <f>IF(AND(ISNUMBER(F414),ISNUMBER(J414)),ROUND(F414*J414,0),IF(ISNUMBER(I414),I414,""))</f>
        <v/>
      </c>
      <c r="L414" s="33" t="n"/>
      <c r="M414" s="34">
        <f>IF(COUNTA(A414:B414,D414:I414,L414)=0,"",IF(B414="","案件番号がありません",IF(ISNA(MATCH(B414,'案件'!$A$6:$A$105,0)),"案件シートに無い番号です",IF(NOT(OR(D414="材料費",D414="労務費",D414="外注費",D414="経費")),"費目を4つから選んでください",IF(K414="",IF(AND(ISNUMBER(F414),NOT(ISNUMBER(J414))),IF(D414="労務費","単価がありません（設定の作業者名と同じ書き方に）","単価がありません"),IF(AND(ISNUMBER(J414),NOT(ISNUMBER(F414))),"数量がありません","金額がありません")),IF(NOT(ISNUMBER(A414)),"日付がありません（月別集計に入りません）",IF(AND(ISNUMBER(F414),ISNUMBER(J414),ISNUMBER(I414)),"数量×単価を使いました（金額の欄は使っていません）","")))))))</f>
        <v/>
      </c>
      <c r="N414" s="91">
        <f>IF(AND(B414&lt;&gt;"",B414='案件カード'!$C$3),COUNTIF($B$5:B414,'案件カード'!$C$3),"")</f>
        <v/>
      </c>
      <c r="O414" s="91">
        <f>IF(ISNUMBER(K414),IF(B414="",K414,IF(AND(ISNUMBER(MATCH(B414,'案件'!$A$6:$A$105,0)),OR(D414="材料費",D414="労務費",D414="外注費",D414="経費")),0,K414)),0)</f>
        <v/>
      </c>
    </row>
    <row r="415" ht="16" customHeight="1">
      <c r="A415" s="35" t="n"/>
      <c r="B415" s="36" t="n"/>
      <c r="C415" s="37">
        <f>IF(B415="","",IFERROR(INDEX('案件'!$B$6:$B$105,MATCH(B415,'案件'!$A$6:$A$105,0))&amp;"","（案件シートに無い番号）"))</f>
        <v/>
      </c>
      <c r="D415" s="36" t="n"/>
      <c r="E415" s="38" t="n"/>
      <c r="F415" s="39" t="n"/>
      <c r="G415" s="36" t="n"/>
      <c r="H415" s="40" t="n"/>
      <c r="I415" s="40" t="n"/>
      <c r="J415" s="41">
        <f>IF(ISNUMBER(H415),H415,IF(AND(D415="労務費",TRIM(E415)&lt;&gt;""),IFERROR(INDEX('設定'!$G$12:$G$31,MATCH(TRIM(E415),'設定'!$J$12:$J$31,0)),""),""))</f>
        <v/>
      </c>
      <c r="K415" s="30">
        <f>IF(AND(ISNUMBER(F415),ISNUMBER(J415)),ROUND(F415*J415,0),IF(ISNUMBER(I415),I415,""))</f>
        <v/>
      </c>
      <c r="L415" s="33" t="n"/>
      <c r="M415" s="34">
        <f>IF(COUNTA(A415:B415,D415:I415,L415)=0,"",IF(B415="","案件番号がありません",IF(ISNA(MATCH(B415,'案件'!$A$6:$A$105,0)),"案件シートに無い番号です",IF(NOT(OR(D415="材料費",D415="労務費",D415="外注費",D415="経費")),"費目を4つから選んでください",IF(K415="",IF(AND(ISNUMBER(F415),NOT(ISNUMBER(J415))),IF(D415="労務費","単価がありません（設定の作業者名と同じ書き方に）","単価がありません"),IF(AND(ISNUMBER(J415),NOT(ISNUMBER(F415))),"数量がありません","金額がありません")),IF(NOT(ISNUMBER(A415)),"日付がありません（月別集計に入りません）",IF(AND(ISNUMBER(F415),ISNUMBER(J415),ISNUMBER(I415)),"数量×単価を使いました（金額の欄は使っていません）","")))))))</f>
        <v/>
      </c>
      <c r="N415" s="91">
        <f>IF(AND(B415&lt;&gt;"",B415='案件カード'!$C$3),COUNTIF($B$5:B415,'案件カード'!$C$3),"")</f>
        <v/>
      </c>
      <c r="O415" s="91">
        <f>IF(ISNUMBER(K415),IF(B415="",K415,IF(AND(ISNUMBER(MATCH(B415,'案件'!$A$6:$A$105,0)),OR(D415="材料費",D415="労務費",D415="外注費",D415="経費")),0,K415)),0)</f>
        <v/>
      </c>
    </row>
    <row r="416" ht="16" customHeight="1">
      <c r="A416" s="35" t="n"/>
      <c r="B416" s="36" t="n"/>
      <c r="C416" s="37">
        <f>IF(B416="","",IFERROR(INDEX('案件'!$B$6:$B$105,MATCH(B416,'案件'!$A$6:$A$105,0))&amp;"","（案件シートに無い番号）"))</f>
        <v/>
      </c>
      <c r="D416" s="36" t="n"/>
      <c r="E416" s="38" t="n"/>
      <c r="F416" s="39" t="n"/>
      <c r="G416" s="36" t="n"/>
      <c r="H416" s="40" t="n"/>
      <c r="I416" s="40" t="n"/>
      <c r="J416" s="41">
        <f>IF(ISNUMBER(H416),H416,IF(AND(D416="労務費",TRIM(E416)&lt;&gt;""),IFERROR(INDEX('設定'!$G$12:$G$31,MATCH(TRIM(E416),'設定'!$J$12:$J$31,0)),""),""))</f>
        <v/>
      </c>
      <c r="K416" s="30">
        <f>IF(AND(ISNUMBER(F416),ISNUMBER(J416)),ROUND(F416*J416,0),IF(ISNUMBER(I416),I416,""))</f>
        <v/>
      </c>
      <c r="L416" s="33" t="n"/>
      <c r="M416" s="34">
        <f>IF(COUNTA(A416:B416,D416:I416,L416)=0,"",IF(B416="","案件番号がありません",IF(ISNA(MATCH(B416,'案件'!$A$6:$A$105,0)),"案件シートに無い番号です",IF(NOT(OR(D416="材料費",D416="労務費",D416="外注費",D416="経費")),"費目を4つから選んでください",IF(K416="",IF(AND(ISNUMBER(F416),NOT(ISNUMBER(J416))),IF(D416="労務費","単価がありません（設定の作業者名と同じ書き方に）","単価がありません"),IF(AND(ISNUMBER(J416),NOT(ISNUMBER(F416))),"数量がありません","金額がありません")),IF(NOT(ISNUMBER(A416)),"日付がありません（月別集計に入りません）",IF(AND(ISNUMBER(F416),ISNUMBER(J416),ISNUMBER(I416)),"数量×単価を使いました（金額の欄は使っていません）","")))))))</f>
        <v/>
      </c>
      <c r="N416" s="91">
        <f>IF(AND(B416&lt;&gt;"",B416='案件カード'!$C$3),COUNTIF($B$5:B416,'案件カード'!$C$3),"")</f>
        <v/>
      </c>
      <c r="O416" s="91">
        <f>IF(ISNUMBER(K416),IF(B416="",K416,IF(AND(ISNUMBER(MATCH(B416,'案件'!$A$6:$A$105,0)),OR(D416="材料費",D416="労務費",D416="外注費",D416="経費")),0,K416)),0)</f>
        <v/>
      </c>
    </row>
    <row r="417" ht="16" customHeight="1">
      <c r="A417" s="35" t="n"/>
      <c r="B417" s="36" t="n"/>
      <c r="C417" s="37">
        <f>IF(B417="","",IFERROR(INDEX('案件'!$B$6:$B$105,MATCH(B417,'案件'!$A$6:$A$105,0))&amp;"","（案件シートに無い番号）"))</f>
        <v/>
      </c>
      <c r="D417" s="36" t="n"/>
      <c r="E417" s="38" t="n"/>
      <c r="F417" s="39" t="n"/>
      <c r="G417" s="36" t="n"/>
      <c r="H417" s="40" t="n"/>
      <c r="I417" s="40" t="n"/>
      <c r="J417" s="41">
        <f>IF(ISNUMBER(H417),H417,IF(AND(D417="労務費",TRIM(E417)&lt;&gt;""),IFERROR(INDEX('設定'!$G$12:$G$31,MATCH(TRIM(E417),'設定'!$J$12:$J$31,0)),""),""))</f>
        <v/>
      </c>
      <c r="K417" s="30">
        <f>IF(AND(ISNUMBER(F417),ISNUMBER(J417)),ROUND(F417*J417,0),IF(ISNUMBER(I417),I417,""))</f>
        <v/>
      </c>
      <c r="L417" s="33" t="n"/>
      <c r="M417" s="34">
        <f>IF(COUNTA(A417:B417,D417:I417,L417)=0,"",IF(B417="","案件番号がありません",IF(ISNA(MATCH(B417,'案件'!$A$6:$A$105,0)),"案件シートに無い番号です",IF(NOT(OR(D417="材料費",D417="労務費",D417="外注費",D417="経費")),"費目を4つから選んでください",IF(K417="",IF(AND(ISNUMBER(F417),NOT(ISNUMBER(J417))),IF(D417="労務費","単価がありません（設定の作業者名と同じ書き方に）","単価がありません"),IF(AND(ISNUMBER(J417),NOT(ISNUMBER(F417))),"数量がありません","金額がありません")),IF(NOT(ISNUMBER(A417)),"日付がありません（月別集計に入りません）",IF(AND(ISNUMBER(F417),ISNUMBER(J417),ISNUMBER(I417)),"数量×単価を使いました（金額の欄は使っていません）","")))))))</f>
        <v/>
      </c>
      <c r="N417" s="91">
        <f>IF(AND(B417&lt;&gt;"",B417='案件カード'!$C$3),COUNTIF($B$5:B417,'案件カード'!$C$3),"")</f>
        <v/>
      </c>
      <c r="O417" s="91">
        <f>IF(ISNUMBER(K417),IF(B417="",K417,IF(AND(ISNUMBER(MATCH(B417,'案件'!$A$6:$A$105,0)),OR(D417="材料費",D417="労務費",D417="外注費",D417="経費")),0,K417)),0)</f>
        <v/>
      </c>
    </row>
    <row r="418" ht="16" customHeight="1">
      <c r="A418" s="35" t="n"/>
      <c r="B418" s="36" t="n"/>
      <c r="C418" s="37">
        <f>IF(B418="","",IFERROR(INDEX('案件'!$B$6:$B$105,MATCH(B418,'案件'!$A$6:$A$105,0))&amp;"","（案件シートに無い番号）"))</f>
        <v/>
      </c>
      <c r="D418" s="36" t="n"/>
      <c r="E418" s="38" t="n"/>
      <c r="F418" s="39" t="n"/>
      <c r="G418" s="36" t="n"/>
      <c r="H418" s="40" t="n"/>
      <c r="I418" s="40" t="n"/>
      <c r="J418" s="41">
        <f>IF(ISNUMBER(H418),H418,IF(AND(D418="労務費",TRIM(E418)&lt;&gt;""),IFERROR(INDEX('設定'!$G$12:$G$31,MATCH(TRIM(E418),'設定'!$J$12:$J$31,0)),""),""))</f>
        <v/>
      </c>
      <c r="K418" s="30">
        <f>IF(AND(ISNUMBER(F418),ISNUMBER(J418)),ROUND(F418*J418,0),IF(ISNUMBER(I418),I418,""))</f>
        <v/>
      </c>
      <c r="L418" s="33" t="n"/>
      <c r="M418" s="34">
        <f>IF(COUNTA(A418:B418,D418:I418,L418)=0,"",IF(B418="","案件番号がありません",IF(ISNA(MATCH(B418,'案件'!$A$6:$A$105,0)),"案件シートに無い番号です",IF(NOT(OR(D418="材料費",D418="労務費",D418="外注費",D418="経費")),"費目を4つから選んでください",IF(K418="",IF(AND(ISNUMBER(F418),NOT(ISNUMBER(J418))),IF(D418="労務費","単価がありません（設定の作業者名と同じ書き方に）","単価がありません"),IF(AND(ISNUMBER(J418),NOT(ISNUMBER(F418))),"数量がありません","金額がありません")),IF(NOT(ISNUMBER(A418)),"日付がありません（月別集計に入りません）",IF(AND(ISNUMBER(F418),ISNUMBER(J418),ISNUMBER(I418)),"数量×単価を使いました（金額の欄は使っていません）","")))))))</f>
        <v/>
      </c>
      <c r="N418" s="91">
        <f>IF(AND(B418&lt;&gt;"",B418='案件カード'!$C$3),COUNTIF($B$5:B418,'案件カード'!$C$3),"")</f>
        <v/>
      </c>
      <c r="O418" s="91">
        <f>IF(ISNUMBER(K418),IF(B418="",K418,IF(AND(ISNUMBER(MATCH(B418,'案件'!$A$6:$A$105,0)),OR(D418="材料費",D418="労務費",D418="外注費",D418="経費")),0,K418)),0)</f>
        <v/>
      </c>
    </row>
    <row r="419" ht="16" customHeight="1">
      <c r="A419" s="35" t="n"/>
      <c r="B419" s="36" t="n"/>
      <c r="C419" s="37">
        <f>IF(B419="","",IFERROR(INDEX('案件'!$B$6:$B$105,MATCH(B419,'案件'!$A$6:$A$105,0))&amp;"","（案件シートに無い番号）"))</f>
        <v/>
      </c>
      <c r="D419" s="36" t="n"/>
      <c r="E419" s="38" t="n"/>
      <c r="F419" s="39" t="n"/>
      <c r="G419" s="36" t="n"/>
      <c r="H419" s="40" t="n"/>
      <c r="I419" s="40" t="n"/>
      <c r="J419" s="41">
        <f>IF(ISNUMBER(H419),H419,IF(AND(D419="労務費",TRIM(E419)&lt;&gt;""),IFERROR(INDEX('設定'!$G$12:$G$31,MATCH(TRIM(E419),'設定'!$J$12:$J$31,0)),""),""))</f>
        <v/>
      </c>
      <c r="K419" s="30">
        <f>IF(AND(ISNUMBER(F419),ISNUMBER(J419)),ROUND(F419*J419,0),IF(ISNUMBER(I419),I419,""))</f>
        <v/>
      </c>
      <c r="L419" s="33" t="n"/>
      <c r="M419" s="34">
        <f>IF(COUNTA(A419:B419,D419:I419,L419)=0,"",IF(B419="","案件番号がありません",IF(ISNA(MATCH(B419,'案件'!$A$6:$A$105,0)),"案件シートに無い番号です",IF(NOT(OR(D419="材料費",D419="労務費",D419="外注費",D419="経費")),"費目を4つから選んでください",IF(K419="",IF(AND(ISNUMBER(F419),NOT(ISNUMBER(J419))),IF(D419="労務費","単価がありません（設定の作業者名と同じ書き方に）","単価がありません"),IF(AND(ISNUMBER(J419),NOT(ISNUMBER(F419))),"数量がありません","金額がありません")),IF(NOT(ISNUMBER(A419)),"日付がありません（月別集計に入りません）",IF(AND(ISNUMBER(F419),ISNUMBER(J419),ISNUMBER(I419)),"数量×単価を使いました（金額の欄は使っていません）","")))))))</f>
        <v/>
      </c>
      <c r="N419" s="91">
        <f>IF(AND(B419&lt;&gt;"",B419='案件カード'!$C$3),COUNTIF($B$5:B419,'案件カード'!$C$3),"")</f>
        <v/>
      </c>
      <c r="O419" s="91">
        <f>IF(ISNUMBER(K419),IF(B419="",K419,IF(AND(ISNUMBER(MATCH(B419,'案件'!$A$6:$A$105,0)),OR(D419="材料費",D419="労務費",D419="外注費",D419="経費")),0,K419)),0)</f>
        <v/>
      </c>
    </row>
    <row r="420" ht="16" customHeight="1">
      <c r="A420" s="35" t="n"/>
      <c r="B420" s="36" t="n"/>
      <c r="C420" s="37">
        <f>IF(B420="","",IFERROR(INDEX('案件'!$B$6:$B$105,MATCH(B420,'案件'!$A$6:$A$105,0))&amp;"","（案件シートに無い番号）"))</f>
        <v/>
      </c>
      <c r="D420" s="36" t="n"/>
      <c r="E420" s="38" t="n"/>
      <c r="F420" s="39" t="n"/>
      <c r="G420" s="36" t="n"/>
      <c r="H420" s="40" t="n"/>
      <c r="I420" s="40" t="n"/>
      <c r="J420" s="41">
        <f>IF(ISNUMBER(H420),H420,IF(AND(D420="労務費",TRIM(E420)&lt;&gt;""),IFERROR(INDEX('設定'!$G$12:$G$31,MATCH(TRIM(E420),'設定'!$J$12:$J$31,0)),""),""))</f>
        <v/>
      </c>
      <c r="K420" s="30">
        <f>IF(AND(ISNUMBER(F420),ISNUMBER(J420)),ROUND(F420*J420,0),IF(ISNUMBER(I420),I420,""))</f>
        <v/>
      </c>
      <c r="L420" s="33" t="n"/>
      <c r="M420" s="34">
        <f>IF(COUNTA(A420:B420,D420:I420,L420)=0,"",IF(B420="","案件番号がありません",IF(ISNA(MATCH(B420,'案件'!$A$6:$A$105,0)),"案件シートに無い番号です",IF(NOT(OR(D420="材料費",D420="労務費",D420="外注費",D420="経費")),"費目を4つから選んでください",IF(K420="",IF(AND(ISNUMBER(F420),NOT(ISNUMBER(J420))),IF(D420="労務費","単価がありません（設定の作業者名と同じ書き方に）","単価がありません"),IF(AND(ISNUMBER(J420),NOT(ISNUMBER(F420))),"数量がありません","金額がありません")),IF(NOT(ISNUMBER(A420)),"日付がありません（月別集計に入りません）",IF(AND(ISNUMBER(F420),ISNUMBER(J420),ISNUMBER(I420)),"数量×単価を使いました（金額の欄は使っていません）","")))))))</f>
        <v/>
      </c>
      <c r="N420" s="91">
        <f>IF(AND(B420&lt;&gt;"",B420='案件カード'!$C$3),COUNTIF($B$5:B420,'案件カード'!$C$3),"")</f>
        <v/>
      </c>
      <c r="O420" s="91">
        <f>IF(ISNUMBER(K420),IF(B420="",K420,IF(AND(ISNUMBER(MATCH(B420,'案件'!$A$6:$A$105,0)),OR(D420="材料費",D420="労務費",D420="外注費",D420="経費")),0,K420)),0)</f>
        <v/>
      </c>
    </row>
    <row r="421" ht="16" customHeight="1">
      <c r="A421" s="35" t="n"/>
      <c r="B421" s="36" t="n"/>
      <c r="C421" s="37">
        <f>IF(B421="","",IFERROR(INDEX('案件'!$B$6:$B$105,MATCH(B421,'案件'!$A$6:$A$105,0))&amp;"","（案件シートに無い番号）"))</f>
        <v/>
      </c>
      <c r="D421" s="36" t="n"/>
      <c r="E421" s="38" t="n"/>
      <c r="F421" s="39" t="n"/>
      <c r="G421" s="36" t="n"/>
      <c r="H421" s="40" t="n"/>
      <c r="I421" s="40" t="n"/>
      <c r="J421" s="41">
        <f>IF(ISNUMBER(H421),H421,IF(AND(D421="労務費",TRIM(E421)&lt;&gt;""),IFERROR(INDEX('設定'!$G$12:$G$31,MATCH(TRIM(E421),'設定'!$J$12:$J$31,0)),""),""))</f>
        <v/>
      </c>
      <c r="K421" s="30">
        <f>IF(AND(ISNUMBER(F421),ISNUMBER(J421)),ROUND(F421*J421,0),IF(ISNUMBER(I421),I421,""))</f>
        <v/>
      </c>
      <c r="L421" s="33" t="n"/>
      <c r="M421" s="34">
        <f>IF(COUNTA(A421:B421,D421:I421,L421)=0,"",IF(B421="","案件番号がありません",IF(ISNA(MATCH(B421,'案件'!$A$6:$A$105,0)),"案件シートに無い番号です",IF(NOT(OR(D421="材料費",D421="労務費",D421="外注費",D421="経費")),"費目を4つから選んでください",IF(K421="",IF(AND(ISNUMBER(F421),NOT(ISNUMBER(J421))),IF(D421="労務費","単価がありません（設定の作業者名と同じ書き方に）","単価がありません"),IF(AND(ISNUMBER(J421),NOT(ISNUMBER(F421))),"数量がありません","金額がありません")),IF(NOT(ISNUMBER(A421)),"日付がありません（月別集計に入りません）",IF(AND(ISNUMBER(F421),ISNUMBER(J421),ISNUMBER(I421)),"数量×単価を使いました（金額の欄は使っていません）","")))))))</f>
        <v/>
      </c>
      <c r="N421" s="91">
        <f>IF(AND(B421&lt;&gt;"",B421='案件カード'!$C$3),COUNTIF($B$5:B421,'案件カード'!$C$3),"")</f>
        <v/>
      </c>
      <c r="O421" s="91">
        <f>IF(ISNUMBER(K421),IF(B421="",K421,IF(AND(ISNUMBER(MATCH(B421,'案件'!$A$6:$A$105,0)),OR(D421="材料費",D421="労務費",D421="外注費",D421="経費")),0,K421)),0)</f>
        <v/>
      </c>
    </row>
    <row r="422" ht="16" customHeight="1">
      <c r="A422" s="35" t="n"/>
      <c r="B422" s="36" t="n"/>
      <c r="C422" s="37">
        <f>IF(B422="","",IFERROR(INDEX('案件'!$B$6:$B$105,MATCH(B422,'案件'!$A$6:$A$105,0))&amp;"","（案件シートに無い番号）"))</f>
        <v/>
      </c>
      <c r="D422" s="36" t="n"/>
      <c r="E422" s="38" t="n"/>
      <c r="F422" s="39" t="n"/>
      <c r="G422" s="36" t="n"/>
      <c r="H422" s="40" t="n"/>
      <c r="I422" s="40" t="n"/>
      <c r="J422" s="41">
        <f>IF(ISNUMBER(H422),H422,IF(AND(D422="労務費",TRIM(E422)&lt;&gt;""),IFERROR(INDEX('設定'!$G$12:$G$31,MATCH(TRIM(E422),'設定'!$J$12:$J$31,0)),""),""))</f>
        <v/>
      </c>
      <c r="K422" s="30">
        <f>IF(AND(ISNUMBER(F422),ISNUMBER(J422)),ROUND(F422*J422,0),IF(ISNUMBER(I422),I422,""))</f>
        <v/>
      </c>
      <c r="L422" s="33" t="n"/>
      <c r="M422" s="34">
        <f>IF(COUNTA(A422:B422,D422:I422,L422)=0,"",IF(B422="","案件番号がありません",IF(ISNA(MATCH(B422,'案件'!$A$6:$A$105,0)),"案件シートに無い番号です",IF(NOT(OR(D422="材料費",D422="労務費",D422="外注費",D422="経費")),"費目を4つから選んでください",IF(K422="",IF(AND(ISNUMBER(F422),NOT(ISNUMBER(J422))),IF(D422="労務費","単価がありません（設定の作業者名と同じ書き方に）","単価がありません"),IF(AND(ISNUMBER(J422),NOT(ISNUMBER(F422))),"数量がありません","金額がありません")),IF(NOT(ISNUMBER(A422)),"日付がありません（月別集計に入りません）",IF(AND(ISNUMBER(F422),ISNUMBER(J422),ISNUMBER(I422)),"数量×単価を使いました（金額の欄は使っていません）","")))))))</f>
        <v/>
      </c>
      <c r="N422" s="91">
        <f>IF(AND(B422&lt;&gt;"",B422='案件カード'!$C$3),COUNTIF($B$5:B422,'案件カード'!$C$3),"")</f>
        <v/>
      </c>
      <c r="O422" s="91">
        <f>IF(ISNUMBER(K422),IF(B422="",K422,IF(AND(ISNUMBER(MATCH(B422,'案件'!$A$6:$A$105,0)),OR(D422="材料費",D422="労務費",D422="外注費",D422="経費")),0,K422)),0)</f>
        <v/>
      </c>
    </row>
    <row r="423" ht="16" customHeight="1">
      <c r="A423" s="35" t="n"/>
      <c r="B423" s="36" t="n"/>
      <c r="C423" s="37">
        <f>IF(B423="","",IFERROR(INDEX('案件'!$B$6:$B$105,MATCH(B423,'案件'!$A$6:$A$105,0))&amp;"","（案件シートに無い番号）"))</f>
        <v/>
      </c>
      <c r="D423" s="36" t="n"/>
      <c r="E423" s="38" t="n"/>
      <c r="F423" s="39" t="n"/>
      <c r="G423" s="36" t="n"/>
      <c r="H423" s="40" t="n"/>
      <c r="I423" s="40" t="n"/>
      <c r="J423" s="41">
        <f>IF(ISNUMBER(H423),H423,IF(AND(D423="労務費",TRIM(E423)&lt;&gt;""),IFERROR(INDEX('設定'!$G$12:$G$31,MATCH(TRIM(E423),'設定'!$J$12:$J$31,0)),""),""))</f>
        <v/>
      </c>
      <c r="K423" s="30">
        <f>IF(AND(ISNUMBER(F423),ISNUMBER(J423)),ROUND(F423*J423,0),IF(ISNUMBER(I423),I423,""))</f>
        <v/>
      </c>
      <c r="L423" s="33" t="n"/>
      <c r="M423" s="34">
        <f>IF(COUNTA(A423:B423,D423:I423,L423)=0,"",IF(B423="","案件番号がありません",IF(ISNA(MATCH(B423,'案件'!$A$6:$A$105,0)),"案件シートに無い番号です",IF(NOT(OR(D423="材料費",D423="労務費",D423="外注費",D423="経費")),"費目を4つから選んでください",IF(K423="",IF(AND(ISNUMBER(F423),NOT(ISNUMBER(J423))),IF(D423="労務費","単価がありません（設定の作業者名と同じ書き方に）","単価がありません"),IF(AND(ISNUMBER(J423),NOT(ISNUMBER(F423))),"数量がありません","金額がありません")),IF(NOT(ISNUMBER(A423)),"日付がありません（月別集計に入りません）",IF(AND(ISNUMBER(F423),ISNUMBER(J423),ISNUMBER(I423)),"数量×単価を使いました（金額の欄は使っていません）","")))))))</f>
        <v/>
      </c>
      <c r="N423" s="91">
        <f>IF(AND(B423&lt;&gt;"",B423='案件カード'!$C$3),COUNTIF($B$5:B423,'案件カード'!$C$3),"")</f>
        <v/>
      </c>
      <c r="O423" s="91">
        <f>IF(ISNUMBER(K423),IF(B423="",K423,IF(AND(ISNUMBER(MATCH(B423,'案件'!$A$6:$A$105,0)),OR(D423="材料費",D423="労務費",D423="外注費",D423="経費")),0,K423)),0)</f>
        <v/>
      </c>
    </row>
    <row r="424" ht="16" customHeight="1">
      <c r="A424" s="35" t="n"/>
      <c r="B424" s="36" t="n"/>
      <c r="C424" s="37">
        <f>IF(B424="","",IFERROR(INDEX('案件'!$B$6:$B$105,MATCH(B424,'案件'!$A$6:$A$105,0))&amp;"","（案件シートに無い番号）"))</f>
        <v/>
      </c>
      <c r="D424" s="36" t="n"/>
      <c r="E424" s="38" t="n"/>
      <c r="F424" s="39" t="n"/>
      <c r="G424" s="36" t="n"/>
      <c r="H424" s="40" t="n"/>
      <c r="I424" s="40" t="n"/>
      <c r="J424" s="41">
        <f>IF(ISNUMBER(H424),H424,IF(AND(D424="労務費",TRIM(E424)&lt;&gt;""),IFERROR(INDEX('設定'!$G$12:$G$31,MATCH(TRIM(E424),'設定'!$J$12:$J$31,0)),""),""))</f>
        <v/>
      </c>
      <c r="K424" s="30">
        <f>IF(AND(ISNUMBER(F424),ISNUMBER(J424)),ROUND(F424*J424,0),IF(ISNUMBER(I424),I424,""))</f>
        <v/>
      </c>
      <c r="L424" s="33" t="n"/>
      <c r="M424" s="34">
        <f>IF(COUNTA(A424:B424,D424:I424,L424)=0,"",IF(B424="","案件番号がありません",IF(ISNA(MATCH(B424,'案件'!$A$6:$A$105,0)),"案件シートに無い番号です",IF(NOT(OR(D424="材料費",D424="労務費",D424="外注費",D424="経費")),"費目を4つから選んでください",IF(K424="",IF(AND(ISNUMBER(F424),NOT(ISNUMBER(J424))),IF(D424="労務費","単価がありません（設定の作業者名と同じ書き方に）","単価がありません"),IF(AND(ISNUMBER(J424),NOT(ISNUMBER(F424))),"数量がありません","金額がありません")),IF(NOT(ISNUMBER(A424)),"日付がありません（月別集計に入りません）",IF(AND(ISNUMBER(F424),ISNUMBER(J424),ISNUMBER(I424)),"数量×単価を使いました（金額の欄は使っていません）","")))))))</f>
        <v/>
      </c>
      <c r="N424" s="91">
        <f>IF(AND(B424&lt;&gt;"",B424='案件カード'!$C$3),COUNTIF($B$5:B424,'案件カード'!$C$3),"")</f>
        <v/>
      </c>
      <c r="O424" s="91">
        <f>IF(ISNUMBER(K424),IF(B424="",K424,IF(AND(ISNUMBER(MATCH(B424,'案件'!$A$6:$A$105,0)),OR(D424="材料費",D424="労務費",D424="外注費",D424="経費")),0,K424)),0)</f>
        <v/>
      </c>
    </row>
    <row r="425" ht="16" customHeight="1">
      <c r="A425" s="35" t="n"/>
      <c r="B425" s="36" t="n"/>
      <c r="C425" s="37">
        <f>IF(B425="","",IFERROR(INDEX('案件'!$B$6:$B$105,MATCH(B425,'案件'!$A$6:$A$105,0))&amp;"","（案件シートに無い番号）"))</f>
        <v/>
      </c>
      <c r="D425" s="36" t="n"/>
      <c r="E425" s="38" t="n"/>
      <c r="F425" s="39" t="n"/>
      <c r="G425" s="36" t="n"/>
      <c r="H425" s="40" t="n"/>
      <c r="I425" s="40" t="n"/>
      <c r="J425" s="41">
        <f>IF(ISNUMBER(H425),H425,IF(AND(D425="労務費",TRIM(E425)&lt;&gt;""),IFERROR(INDEX('設定'!$G$12:$G$31,MATCH(TRIM(E425),'設定'!$J$12:$J$31,0)),""),""))</f>
        <v/>
      </c>
      <c r="K425" s="30">
        <f>IF(AND(ISNUMBER(F425),ISNUMBER(J425)),ROUND(F425*J425,0),IF(ISNUMBER(I425),I425,""))</f>
        <v/>
      </c>
      <c r="L425" s="33" t="n"/>
      <c r="M425" s="34">
        <f>IF(COUNTA(A425:B425,D425:I425,L425)=0,"",IF(B425="","案件番号がありません",IF(ISNA(MATCH(B425,'案件'!$A$6:$A$105,0)),"案件シートに無い番号です",IF(NOT(OR(D425="材料費",D425="労務費",D425="外注費",D425="経費")),"費目を4つから選んでください",IF(K425="",IF(AND(ISNUMBER(F425),NOT(ISNUMBER(J425))),IF(D425="労務費","単価がありません（設定の作業者名と同じ書き方に）","単価がありません"),IF(AND(ISNUMBER(J425),NOT(ISNUMBER(F425))),"数量がありません","金額がありません")),IF(NOT(ISNUMBER(A425)),"日付がありません（月別集計に入りません）",IF(AND(ISNUMBER(F425),ISNUMBER(J425),ISNUMBER(I425)),"数量×単価を使いました（金額の欄は使っていません）","")))))))</f>
        <v/>
      </c>
      <c r="N425" s="91">
        <f>IF(AND(B425&lt;&gt;"",B425='案件カード'!$C$3),COUNTIF($B$5:B425,'案件カード'!$C$3),"")</f>
        <v/>
      </c>
      <c r="O425" s="91">
        <f>IF(ISNUMBER(K425),IF(B425="",K425,IF(AND(ISNUMBER(MATCH(B425,'案件'!$A$6:$A$105,0)),OR(D425="材料費",D425="労務費",D425="外注費",D425="経費")),0,K425)),0)</f>
        <v/>
      </c>
    </row>
    <row r="426" ht="16" customHeight="1">
      <c r="A426" s="35" t="n"/>
      <c r="B426" s="36" t="n"/>
      <c r="C426" s="37">
        <f>IF(B426="","",IFERROR(INDEX('案件'!$B$6:$B$105,MATCH(B426,'案件'!$A$6:$A$105,0))&amp;"","（案件シートに無い番号）"))</f>
        <v/>
      </c>
      <c r="D426" s="36" t="n"/>
      <c r="E426" s="38" t="n"/>
      <c r="F426" s="39" t="n"/>
      <c r="G426" s="36" t="n"/>
      <c r="H426" s="40" t="n"/>
      <c r="I426" s="40" t="n"/>
      <c r="J426" s="41">
        <f>IF(ISNUMBER(H426),H426,IF(AND(D426="労務費",TRIM(E426)&lt;&gt;""),IFERROR(INDEX('設定'!$G$12:$G$31,MATCH(TRIM(E426),'設定'!$J$12:$J$31,0)),""),""))</f>
        <v/>
      </c>
      <c r="K426" s="30">
        <f>IF(AND(ISNUMBER(F426),ISNUMBER(J426)),ROUND(F426*J426,0),IF(ISNUMBER(I426),I426,""))</f>
        <v/>
      </c>
      <c r="L426" s="33" t="n"/>
      <c r="M426" s="34">
        <f>IF(COUNTA(A426:B426,D426:I426,L426)=0,"",IF(B426="","案件番号がありません",IF(ISNA(MATCH(B426,'案件'!$A$6:$A$105,0)),"案件シートに無い番号です",IF(NOT(OR(D426="材料費",D426="労務費",D426="外注費",D426="経費")),"費目を4つから選んでください",IF(K426="",IF(AND(ISNUMBER(F426),NOT(ISNUMBER(J426))),IF(D426="労務費","単価がありません（設定の作業者名と同じ書き方に）","単価がありません"),IF(AND(ISNUMBER(J426),NOT(ISNUMBER(F426))),"数量がありません","金額がありません")),IF(NOT(ISNUMBER(A426)),"日付がありません（月別集計に入りません）",IF(AND(ISNUMBER(F426),ISNUMBER(J426),ISNUMBER(I426)),"数量×単価を使いました（金額の欄は使っていません）","")))))))</f>
        <v/>
      </c>
      <c r="N426" s="91">
        <f>IF(AND(B426&lt;&gt;"",B426='案件カード'!$C$3),COUNTIF($B$5:B426,'案件カード'!$C$3),"")</f>
        <v/>
      </c>
      <c r="O426" s="91">
        <f>IF(ISNUMBER(K426),IF(B426="",K426,IF(AND(ISNUMBER(MATCH(B426,'案件'!$A$6:$A$105,0)),OR(D426="材料費",D426="労務費",D426="外注費",D426="経費")),0,K426)),0)</f>
        <v/>
      </c>
    </row>
    <row r="427" ht="16" customHeight="1">
      <c r="A427" s="35" t="n"/>
      <c r="B427" s="36" t="n"/>
      <c r="C427" s="37">
        <f>IF(B427="","",IFERROR(INDEX('案件'!$B$6:$B$105,MATCH(B427,'案件'!$A$6:$A$105,0))&amp;"","（案件シートに無い番号）"))</f>
        <v/>
      </c>
      <c r="D427" s="36" t="n"/>
      <c r="E427" s="38" t="n"/>
      <c r="F427" s="39" t="n"/>
      <c r="G427" s="36" t="n"/>
      <c r="H427" s="40" t="n"/>
      <c r="I427" s="40" t="n"/>
      <c r="J427" s="41">
        <f>IF(ISNUMBER(H427),H427,IF(AND(D427="労務費",TRIM(E427)&lt;&gt;""),IFERROR(INDEX('設定'!$G$12:$G$31,MATCH(TRIM(E427),'設定'!$J$12:$J$31,0)),""),""))</f>
        <v/>
      </c>
      <c r="K427" s="30">
        <f>IF(AND(ISNUMBER(F427),ISNUMBER(J427)),ROUND(F427*J427,0),IF(ISNUMBER(I427),I427,""))</f>
        <v/>
      </c>
      <c r="L427" s="33" t="n"/>
      <c r="M427" s="34">
        <f>IF(COUNTA(A427:B427,D427:I427,L427)=0,"",IF(B427="","案件番号がありません",IF(ISNA(MATCH(B427,'案件'!$A$6:$A$105,0)),"案件シートに無い番号です",IF(NOT(OR(D427="材料費",D427="労務費",D427="外注費",D427="経費")),"費目を4つから選んでください",IF(K427="",IF(AND(ISNUMBER(F427),NOT(ISNUMBER(J427))),IF(D427="労務費","単価がありません（設定の作業者名と同じ書き方に）","単価がありません"),IF(AND(ISNUMBER(J427),NOT(ISNUMBER(F427))),"数量がありません","金額がありません")),IF(NOT(ISNUMBER(A427)),"日付がありません（月別集計に入りません）",IF(AND(ISNUMBER(F427),ISNUMBER(J427),ISNUMBER(I427)),"数量×単価を使いました（金額の欄は使っていません）","")))))))</f>
        <v/>
      </c>
      <c r="N427" s="91">
        <f>IF(AND(B427&lt;&gt;"",B427='案件カード'!$C$3),COUNTIF($B$5:B427,'案件カード'!$C$3),"")</f>
        <v/>
      </c>
      <c r="O427" s="91">
        <f>IF(ISNUMBER(K427),IF(B427="",K427,IF(AND(ISNUMBER(MATCH(B427,'案件'!$A$6:$A$105,0)),OR(D427="材料費",D427="労務費",D427="外注費",D427="経費")),0,K427)),0)</f>
        <v/>
      </c>
    </row>
    <row r="428" ht="16" customHeight="1">
      <c r="A428" s="35" t="n"/>
      <c r="B428" s="36" t="n"/>
      <c r="C428" s="37">
        <f>IF(B428="","",IFERROR(INDEX('案件'!$B$6:$B$105,MATCH(B428,'案件'!$A$6:$A$105,0))&amp;"","（案件シートに無い番号）"))</f>
        <v/>
      </c>
      <c r="D428" s="36" t="n"/>
      <c r="E428" s="38" t="n"/>
      <c r="F428" s="39" t="n"/>
      <c r="G428" s="36" t="n"/>
      <c r="H428" s="40" t="n"/>
      <c r="I428" s="40" t="n"/>
      <c r="J428" s="41">
        <f>IF(ISNUMBER(H428),H428,IF(AND(D428="労務費",TRIM(E428)&lt;&gt;""),IFERROR(INDEX('設定'!$G$12:$G$31,MATCH(TRIM(E428),'設定'!$J$12:$J$31,0)),""),""))</f>
        <v/>
      </c>
      <c r="K428" s="30">
        <f>IF(AND(ISNUMBER(F428),ISNUMBER(J428)),ROUND(F428*J428,0),IF(ISNUMBER(I428),I428,""))</f>
        <v/>
      </c>
      <c r="L428" s="33" t="n"/>
      <c r="M428" s="34">
        <f>IF(COUNTA(A428:B428,D428:I428,L428)=0,"",IF(B428="","案件番号がありません",IF(ISNA(MATCH(B428,'案件'!$A$6:$A$105,0)),"案件シートに無い番号です",IF(NOT(OR(D428="材料費",D428="労務費",D428="外注費",D428="経費")),"費目を4つから選んでください",IF(K428="",IF(AND(ISNUMBER(F428),NOT(ISNUMBER(J428))),IF(D428="労務費","単価がありません（設定の作業者名と同じ書き方に）","単価がありません"),IF(AND(ISNUMBER(J428),NOT(ISNUMBER(F428))),"数量がありません","金額がありません")),IF(NOT(ISNUMBER(A428)),"日付がありません（月別集計に入りません）",IF(AND(ISNUMBER(F428),ISNUMBER(J428),ISNUMBER(I428)),"数量×単価を使いました（金額の欄は使っていません）","")))))))</f>
        <v/>
      </c>
      <c r="N428" s="91">
        <f>IF(AND(B428&lt;&gt;"",B428='案件カード'!$C$3),COUNTIF($B$5:B428,'案件カード'!$C$3),"")</f>
        <v/>
      </c>
      <c r="O428" s="91">
        <f>IF(ISNUMBER(K428),IF(B428="",K428,IF(AND(ISNUMBER(MATCH(B428,'案件'!$A$6:$A$105,0)),OR(D428="材料費",D428="労務費",D428="外注費",D428="経費")),0,K428)),0)</f>
        <v/>
      </c>
    </row>
    <row r="429" ht="16" customHeight="1">
      <c r="A429" s="35" t="n"/>
      <c r="B429" s="36" t="n"/>
      <c r="C429" s="37">
        <f>IF(B429="","",IFERROR(INDEX('案件'!$B$6:$B$105,MATCH(B429,'案件'!$A$6:$A$105,0))&amp;"","（案件シートに無い番号）"))</f>
        <v/>
      </c>
      <c r="D429" s="36" t="n"/>
      <c r="E429" s="38" t="n"/>
      <c r="F429" s="39" t="n"/>
      <c r="G429" s="36" t="n"/>
      <c r="H429" s="40" t="n"/>
      <c r="I429" s="40" t="n"/>
      <c r="J429" s="41">
        <f>IF(ISNUMBER(H429),H429,IF(AND(D429="労務費",TRIM(E429)&lt;&gt;""),IFERROR(INDEX('設定'!$G$12:$G$31,MATCH(TRIM(E429),'設定'!$J$12:$J$31,0)),""),""))</f>
        <v/>
      </c>
      <c r="K429" s="30">
        <f>IF(AND(ISNUMBER(F429),ISNUMBER(J429)),ROUND(F429*J429,0),IF(ISNUMBER(I429),I429,""))</f>
        <v/>
      </c>
      <c r="L429" s="33" t="n"/>
      <c r="M429" s="34">
        <f>IF(COUNTA(A429:B429,D429:I429,L429)=0,"",IF(B429="","案件番号がありません",IF(ISNA(MATCH(B429,'案件'!$A$6:$A$105,0)),"案件シートに無い番号です",IF(NOT(OR(D429="材料費",D429="労務費",D429="外注費",D429="経費")),"費目を4つから選んでください",IF(K429="",IF(AND(ISNUMBER(F429),NOT(ISNUMBER(J429))),IF(D429="労務費","単価がありません（設定の作業者名と同じ書き方に）","単価がありません"),IF(AND(ISNUMBER(J429),NOT(ISNUMBER(F429))),"数量がありません","金額がありません")),IF(NOT(ISNUMBER(A429)),"日付がありません（月別集計に入りません）",IF(AND(ISNUMBER(F429),ISNUMBER(J429),ISNUMBER(I429)),"数量×単価を使いました（金額の欄は使っていません）","")))))))</f>
        <v/>
      </c>
      <c r="N429" s="91">
        <f>IF(AND(B429&lt;&gt;"",B429='案件カード'!$C$3),COUNTIF($B$5:B429,'案件カード'!$C$3),"")</f>
        <v/>
      </c>
      <c r="O429" s="91">
        <f>IF(ISNUMBER(K429),IF(B429="",K429,IF(AND(ISNUMBER(MATCH(B429,'案件'!$A$6:$A$105,0)),OR(D429="材料費",D429="労務費",D429="外注費",D429="経費")),0,K429)),0)</f>
        <v/>
      </c>
    </row>
    <row r="430" ht="16" customHeight="1">
      <c r="A430" s="35" t="n"/>
      <c r="B430" s="36" t="n"/>
      <c r="C430" s="37">
        <f>IF(B430="","",IFERROR(INDEX('案件'!$B$6:$B$105,MATCH(B430,'案件'!$A$6:$A$105,0))&amp;"","（案件シートに無い番号）"))</f>
        <v/>
      </c>
      <c r="D430" s="36" t="n"/>
      <c r="E430" s="38" t="n"/>
      <c r="F430" s="39" t="n"/>
      <c r="G430" s="36" t="n"/>
      <c r="H430" s="40" t="n"/>
      <c r="I430" s="40" t="n"/>
      <c r="J430" s="41">
        <f>IF(ISNUMBER(H430),H430,IF(AND(D430="労務費",TRIM(E430)&lt;&gt;""),IFERROR(INDEX('設定'!$G$12:$G$31,MATCH(TRIM(E430),'設定'!$J$12:$J$31,0)),""),""))</f>
        <v/>
      </c>
      <c r="K430" s="30">
        <f>IF(AND(ISNUMBER(F430),ISNUMBER(J430)),ROUND(F430*J430,0),IF(ISNUMBER(I430),I430,""))</f>
        <v/>
      </c>
      <c r="L430" s="33" t="n"/>
      <c r="M430" s="34">
        <f>IF(COUNTA(A430:B430,D430:I430,L430)=0,"",IF(B430="","案件番号がありません",IF(ISNA(MATCH(B430,'案件'!$A$6:$A$105,0)),"案件シートに無い番号です",IF(NOT(OR(D430="材料費",D430="労務費",D430="外注費",D430="経費")),"費目を4つから選んでください",IF(K430="",IF(AND(ISNUMBER(F430),NOT(ISNUMBER(J430))),IF(D430="労務費","単価がありません（設定の作業者名と同じ書き方に）","単価がありません"),IF(AND(ISNUMBER(J430),NOT(ISNUMBER(F430))),"数量がありません","金額がありません")),IF(NOT(ISNUMBER(A430)),"日付がありません（月別集計に入りません）",IF(AND(ISNUMBER(F430),ISNUMBER(J430),ISNUMBER(I430)),"数量×単価を使いました（金額の欄は使っていません）","")))))))</f>
        <v/>
      </c>
      <c r="N430" s="91">
        <f>IF(AND(B430&lt;&gt;"",B430='案件カード'!$C$3),COUNTIF($B$5:B430,'案件カード'!$C$3),"")</f>
        <v/>
      </c>
      <c r="O430" s="91">
        <f>IF(ISNUMBER(K430),IF(B430="",K430,IF(AND(ISNUMBER(MATCH(B430,'案件'!$A$6:$A$105,0)),OR(D430="材料費",D430="労務費",D430="外注費",D430="経費")),0,K430)),0)</f>
        <v/>
      </c>
    </row>
    <row r="431" ht="16" customHeight="1">
      <c r="A431" s="35" t="n"/>
      <c r="B431" s="36" t="n"/>
      <c r="C431" s="37">
        <f>IF(B431="","",IFERROR(INDEX('案件'!$B$6:$B$105,MATCH(B431,'案件'!$A$6:$A$105,0))&amp;"","（案件シートに無い番号）"))</f>
        <v/>
      </c>
      <c r="D431" s="36" t="n"/>
      <c r="E431" s="38" t="n"/>
      <c r="F431" s="39" t="n"/>
      <c r="G431" s="36" t="n"/>
      <c r="H431" s="40" t="n"/>
      <c r="I431" s="40" t="n"/>
      <c r="J431" s="41">
        <f>IF(ISNUMBER(H431),H431,IF(AND(D431="労務費",TRIM(E431)&lt;&gt;""),IFERROR(INDEX('設定'!$G$12:$G$31,MATCH(TRIM(E431),'設定'!$J$12:$J$31,0)),""),""))</f>
        <v/>
      </c>
      <c r="K431" s="30">
        <f>IF(AND(ISNUMBER(F431),ISNUMBER(J431)),ROUND(F431*J431,0),IF(ISNUMBER(I431),I431,""))</f>
        <v/>
      </c>
      <c r="L431" s="33" t="n"/>
      <c r="M431" s="34">
        <f>IF(COUNTA(A431:B431,D431:I431,L431)=0,"",IF(B431="","案件番号がありません",IF(ISNA(MATCH(B431,'案件'!$A$6:$A$105,0)),"案件シートに無い番号です",IF(NOT(OR(D431="材料費",D431="労務費",D431="外注費",D431="経費")),"費目を4つから選んでください",IF(K431="",IF(AND(ISNUMBER(F431),NOT(ISNUMBER(J431))),IF(D431="労務費","単価がありません（設定の作業者名と同じ書き方に）","単価がありません"),IF(AND(ISNUMBER(J431),NOT(ISNUMBER(F431))),"数量がありません","金額がありません")),IF(NOT(ISNUMBER(A431)),"日付がありません（月別集計に入りません）",IF(AND(ISNUMBER(F431),ISNUMBER(J431),ISNUMBER(I431)),"数量×単価を使いました（金額の欄は使っていません）","")))))))</f>
        <v/>
      </c>
      <c r="N431" s="91">
        <f>IF(AND(B431&lt;&gt;"",B431='案件カード'!$C$3),COUNTIF($B$5:B431,'案件カード'!$C$3),"")</f>
        <v/>
      </c>
      <c r="O431" s="91">
        <f>IF(ISNUMBER(K431),IF(B431="",K431,IF(AND(ISNUMBER(MATCH(B431,'案件'!$A$6:$A$105,0)),OR(D431="材料費",D431="労務費",D431="外注費",D431="経費")),0,K431)),0)</f>
        <v/>
      </c>
    </row>
    <row r="432" ht="16" customHeight="1">
      <c r="A432" s="35" t="n"/>
      <c r="B432" s="36" t="n"/>
      <c r="C432" s="37">
        <f>IF(B432="","",IFERROR(INDEX('案件'!$B$6:$B$105,MATCH(B432,'案件'!$A$6:$A$105,0))&amp;"","（案件シートに無い番号）"))</f>
        <v/>
      </c>
      <c r="D432" s="36" t="n"/>
      <c r="E432" s="38" t="n"/>
      <c r="F432" s="39" t="n"/>
      <c r="G432" s="36" t="n"/>
      <c r="H432" s="40" t="n"/>
      <c r="I432" s="40" t="n"/>
      <c r="J432" s="41">
        <f>IF(ISNUMBER(H432),H432,IF(AND(D432="労務費",TRIM(E432)&lt;&gt;""),IFERROR(INDEX('設定'!$G$12:$G$31,MATCH(TRIM(E432),'設定'!$J$12:$J$31,0)),""),""))</f>
        <v/>
      </c>
      <c r="K432" s="30">
        <f>IF(AND(ISNUMBER(F432),ISNUMBER(J432)),ROUND(F432*J432,0),IF(ISNUMBER(I432),I432,""))</f>
        <v/>
      </c>
      <c r="L432" s="33" t="n"/>
      <c r="M432" s="34">
        <f>IF(COUNTA(A432:B432,D432:I432,L432)=0,"",IF(B432="","案件番号がありません",IF(ISNA(MATCH(B432,'案件'!$A$6:$A$105,0)),"案件シートに無い番号です",IF(NOT(OR(D432="材料費",D432="労務費",D432="外注費",D432="経費")),"費目を4つから選んでください",IF(K432="",IF(AND(ISNUMBER(F432),NOT(ISNUMBER(J432))),IF(D432="労務費","単価がありません（設定の作業者名と同じ書き方に）","単価がありません"),IF(AND(ISNUMBER(J432),NOT(ISNUMBER(F432))),"数量がありません","金額がありません")),IF(NOT(ISNUMBER(A432)),"日付がありません（月別集計に入りません）",IF(AND(ISNUMBER(F432),ISNUMBER(J432),ISNUMBER(I432)),"数量×単価を使いました（金額の欄は使っていません）","")))))))</f>
        <v/>
      </c>
      <c r="N432" s="91">
        <f>IF(AND(B432&lt;&gt;"",B432='案件カード'!$C$3),COUNTIF($B$5:B432,'案件カード'!$C$3),"")</f>
        <v/>
      </c>
      <c r="O432" s="91">
        <f>IF(ISNUMBER(K432),IF(B432="",K432,IF(AND(ISNUMBER(MATCH(B432,'案件'!$A$6:$A$105,0)),OR(D432="材料費",D432="労務費",D432="外注費",D432="経費")),0,K432)),0)</f>
        <v/>
      </c>
    </row>
    <row r="433" ht="16" customHeight="1">
      <c r="A433" s="35" t="n"/>
      <c r="B433" s="36" t="n"/>
      <c r="C433" s="37">
        <f>IF(B433="","",IFERROR(INDEX('案件'!$B$6:$B$105,MATCH(B433,'案件'!$A$6:$A$105,0))&amp;"","（案件シートに無い番号）"))</f>
        <v/>
      </c>
      <c r="D433" s="36" t="n"/>
      <c r="E433" s="38" t="n"/>
      <c r="F433" s="39" t="n"/>
      <c r="G433" s="36" t="n"/>
      <c r="H433" s="40" t="n"/>
      <c r="I433" s="40" t="n"/>
      <c r="J433" s="41">
        <f>IF(ISNUMBER(H433),H433,IF(AND(D433="労務費",TRIM(E433)&lt;&gt;""),IFERROR(INDEX('設定'!$G$12:$G$31,MATCH(TRIM(E433),'設定'!$J$12:$J$31,0)),""),""))</f>
        <v/>
      </c>
      <c r="K433" s="30">
        <f>IF(AND(ISNUMBER(F433),ISNUMBER(J433)),ROUND(F433*J433,0),IF(ISNUMBER(I433),I433,""))</f>
        <v/>
      </c>
      <c r="L433" s="33" t="n"/>
      <c r="M433" s="34">
        <f>IF(COUNTA(A433:B433,D433:I433,L433)=0,"",IF(B433="","案件番号がありません",IF(ISNA(MATCH(B433,'案件'!$A$6:$A$105,0)),"案件シートに無い番号です",IF(NOT(OR(D433="材料費",D433="労務費",D433="外注費",D433="経費")),"費目を4つから選んでください",IF(K433="",IF(AND(ISNUMBER(F433),NOT(ISNUMBER(J433))),IF(D433="労務費","単価がありません（設定の作業者名と同じ書き方に）","単価がありません"),IF(AND(ISNUMBER(J433),NOT(ISNUMBER(F433))),"数量がありません","金額がありません")),IF(NOT(ISNUMBER(A433)),"日付がありません（月別集計に入りません）",IF(AND(ISNUMBER(F433),ISNUMBER(J433),ISNUMBER(I433)),"数量×単価を使いました（金額の欄は使っていません）","")))))))</f>
        <v/>
      </c>
      <c r="N433" s="91">
        <f>IF(AND(B433&lt;&gt;"",B433='案件カード'!$C$3),COUNTIF($B$5:B433,'案件カード'!$C$3),"")</f>
        <v/>
      </c>
      <c r="O433" s="91">
        <f>IF(ISNUMBER(K433),IF(B433="",K433,IF(AND(ISNUMBER(MATCH(B433,'案件'!$A$6:$A$105,0)),OR(D433="材料費",D433="労務費",D433="外注費",D433="経費")),0,K433)),0)</f>
        <v/>
      </c>
    </row>
    <row r="434" ht="16" customHeight="1">
      <c r="A434" s="35" t="n"/>
      <c r="B434" s="36" t="n"/>
      <c r="C434" s="37">
        <f>IF(B434="","",IFERROR(INDEX('案件'!$B$6:$B$105,MATCH(B434,'案件'!$A$6:$A$105,0))&amp;"","（案件シートに無い番号）"))</f>
        <v/>
      </c>
      <c r="D434" s="36" t="n"/>
      <c r="E434" s="38" t="n"/>
      <c r="F434" s="39" t="n"/>
      <c r="G434" s="36" t="n"/>
      <c r="H434" s="40" t="n"/>
      <c r="I434" s="40" t="n"/>
      <c r="J434" s="41">
        <f>IF(ISNUMBER(H434),H434,IF(AND(D434="労務費",TRIM(E434)&lt;&gt;""),IFERROR(INDEX('設定'!$G$12:$G$31,MATCH(TRIM(E434),'設定'!$J$12:$J$31,0)),""),""))</f>
        <v/>
      </c>
      <c r="K434" s="30">
        <f>IF(AND(ISNUMBER(F434),ISNUMBER(J434)),ROUND(F434*J434,0),IF(ISNUMBER(I434),I434,""))</f>
        <v/>
      </c>
      <c r="L434" s="33" t="n"/>
      <c r="M434" s="34">
        <f>IF(COUNTA(A434:B434,D434:I434,L434)=0,"",IF(B434="","案件番号がありません",IF(ISNA(MATCH(B434,'案件'!$A$6:$A$105,0)),"案件シートに無い番号です",IF(NOT(OR(D434="材料費",D434="労務費",D434="外注費",D434="経費")),"費目を4つから選んでください",IF(K434="",IF(AND(ISNUMBER(F434),NOT(ISNUMBER(J434))),IF(D434="労務費","単価がありません（設定の作業者名と同じ書き方に）","単価がありません"),IF(AND(ISNUMBER(J434),NOT(ISNUMBER(F434))),"数量がありません","金額がありません")),IF(NOT(ISNUMBER(A434)),"日付がありません（月別集計に入りません）",IF(AND(ISNUMBER(F434),ISNUMBER(J434),ISNUMBER(I434)),"数量×単価を使いました（金額の欄は使っていません）","")))))))</f>
        <v/>
      </c>
      <c r="N434" s="91">
        <f>IF(AND(B434&lt;&gt;"",B434='案件カード'!$C$3),COUNTIF($B$5:B434,'案件カード'!$C$3),"")</f>
        <v/>
      </c>
      <c r="O434" s="91">
        <f>IF(ISNUMBER(K434),IF(B434="",K434,IF(AND(ISNUMBER(MATCH(B434,'案件'!$A$6:$A$105,0)),OR(D434="材料費",D434="労務費",D434="外注費",D434="経費")),0,K434)),0)</f>
        <v/>
      </c>
    </row>
    <row r="435" ht="16" customHeight="1">
      <c r="A435" s="35" t="n"/>
      <c r="B435" s="36" t="n"/>
      <c r="C435" s="37">
        <f>IF(B435="","",IFERROR(INDEX('案件'!$B$6:$B$105,MATCH(B435,'案件'!$A$6:$A$105,0))&amp;"","（案件シートに無い番号）"))</f>
        <v/>
      </c>
      <c r="D435" s="36" t="n"/>
      <c r="E435" s="38" t="n"/>
      <c r="F435" s="39" t="n"/>
      <c r="G435" s="36" t="n"/>
      <c r="H435" s="40" t="n"/>
      <c r="I435" s="40" t="n"/>
      <c r="J435" s="41">
        <f>IF(ISNUMBER(H435),H435,IF(AND(D435="労務費",TRIM(E435)&lt;&gt;""),IFERROR(INDEX('設定'!$G$12:$G$31,MATCH(TRIM(E435),'設定'!$J$12:$J$31,0)),""),""))</f>
        <v/>
      </c>
      <c r="K435" s="30">
        <f>IF(AND(ISNUMBER(F435),ISNUMBER(J435)),ROUND(F435*J435,0),IF(ISNUMBER(I435),I435,""))</f>
        <v/>
      </c>
      <c r="L435" s="33" t="n"/>
      <c r="M435" s="34">
        <f>IF(COUNTA(A435:B435,D435:I435,L435)=0,"",IF(B435="","案件番号がありません",IF(ISNA(MATCH(B435,'案件'!$A$6:$A$105,0)),"案件シートに無い番号です",IF(NOT(OR(D435="材料費",D435="労務費",D435="外注費",D435="経費")),"費目を4つから選んでください",IF(K435="",IF(AND(ISNUMBER(F435),NOT(ISNUMBER(J435))),IF(D435="労務費","単価がありません（設定の作業者名と同じ書き方に）","単価がありません"),IF(AND(ISNUMBER(J435),NOT(ISNUMBER(F435))),"数量がありません","金額がありません")),IF(NOT(ISNUMBER(A435)),"日付がありません（月別集計に入りません）",IF(AND(ISNUMBER(F435),ISNUMBER(J435),ISNUMBER(I435)),"数量×単価を使いました（金額の欄は使っていません）","")))))))</f>
        <v/>
      </c>
      <c r="N435" s="91">
        <f>IF(AND(B435&lt;&gt;"",B435='案件カード'!$C$3),COUNTIF($B$5:B435,'案件カード'!$C$3),"")</f>
        <v/>
      </c>
      <c r="O435" s="91">
        <f>IF(ISNUMBER(K435),IF(B435="",K435,IF(AND(ISNUMBER(MATCH(B435,'案件'!$A$6:$A$105,0)),OR(D435="材料費",D435="労務費",D435="外注費",D435="経費")),0,K435)),0)</f>
        <v/>
      </c>
    </row>
    <row r="436" ht="16" customHeight="1">
      <c r="A436" s="35" t="n"/>
      <c r="B436" s="36" t="n"/>
      <c r="C436" s="37">
        <f>IF(B436="","",IFERROR(INDEX('案件'!$B$6:$B$105,MATCH(B436,'案件'!$A$6:$A$105,0))&amp;"","（案件シートに無い番号）"))</f>
        <v/>
      </c>
      <c r="D436" s="36" t="n"/>
      <c r="E436" s="38" t="n"/>
      <c r="F436" s="39" t="n"/>
      <c r="G436" s="36" t="n"/>
      <c r="H436" s="40" t="n"/>
      <c r="I436" s="40" t="n"/>
      <c r="J436" s="41">
        <f>IF(ISNUMBER(H436),H436,IF(AND(D436="労務費",TRIM(E436)&lt;&gt;""),IFERROR(INDEX('設定'!$G$12:$G$31,MATCH(TRIM(E436),'設定'!$J$12:$J$31,0)),""),""))</f>
        <v/>
      </c>
      <c r="K436" s="30">
        <f>IF(AND(ISNUMBER(F436),ISNUMBER(J436)),ROUND(F436*J436,0),IF(ISNUMBER(I436),I436,""))</f>
        <v/>
      </c>
      <c r="L436" s="33" t="n"/>
      <c r="M436" s="34">
        <f>IF(COUNTA(A436:B436,D436:I436,L436)=0,"",IF(B436="","案件番号がありません",IF(ISNA(MATCH(B436,'案件'!$A$6:$A$105,0)),"案件シートに無い番号です",IF(NOT(OR(D436="材料費",D436="労務費",D436="外注費",D436="経費")),"費目を4つから選んでください",IF(K436="",IF(AND(ISNUMBER(F436),NOT(ISNUMBER(J436))),IF(D436="労務費","単価がありません（設定の作業者名と同じ書き方に）","単価がありません"),IF(AND(ISNUMBER(J436),NOT(ISNUMBER(F436))),"数量がありません","金額がありません")),IF(NOT(ISNUMBER(A436)),"日付がありません（月別集計に入りません）",IF(AND(ISNUMBER(F436),ISNUMBER(J436),ISNUMBER(I436)),"数量×単価を使いました（金額の欄は使っていません）","")))))))</f>
        <v/>
      </c>
      <c r="N436" s="91">
        <f>IF(AND(B436&lt;&gt;"",B436='案件カード'!$C$3),COUNTIF($B$5:B436,'案件カード'!$C$3),"")</f>
        <v/>
      </c>
      <c r="O436" s="91">
        <f>IF(ISNUMBER(K436),IF(B436="",K436,IF(AND(ISNUMBER(MATCH(B436,'案件'!$A$6:$A$105,0)),OR(D436="材料費",D436="労務費",D436="外注費",D436="経費")),0,K436)),0)</f>
        <v/>
      </c>
    </row>
    <row r="437" ht="16" customHeight="1">
      <c r="A437" s="35" t="n"/>
      <c r="B437" s="36" t="n"/>
      <c r="C437" s="37">
        <f>IF(B437="","",IFERROR(INDEX('案件'!$B$6:$B$105,MATCH(B437,'案件'!$A$6:$A$105,0))&amp;"","（案件シートに無い番号）"))</f>
        <v/>
      </c>
      <c r="D437" s="36" t="n"/>
      <c r="E437" s="38" t="n"/>
      <c r="F437" s="39" t="n"/>
      <c r="G437" s="36" t="n"/>
      <c r="H437" s="40" t="n"/>
      <c r="I437" s="40" t="n"/>
      <c r="J437" s="41">
        <f>IF(ISNUMBER(H437),H437,IF(AND(D437="労務費",TRIM(E437)&lt;&gt;""),IFERROR(INDEX('設定'!$G$12:$G$31,MATCH(TRIM(E437),'設定'!$J$12:$J$31,0)),""),""))</f>
        <v/>
      </c>
      <c r="K437" s="30">
        <f>IF(AND(ISNUMBER(F437),ISNUMBER(J437)),ROUND(F437*J437,0),IF(ISNUMBER(I437),I437,""))</f>
        <v/>
      </c>
      <c r="L437" s="33" t="n"/>
      <c r="M437" s="34">
        <f>IF(COUNTA(A437:B437,D437:I437,L437)=0,"",IF(B437="","案件番号がありません",IF(ISNA(MATCH(B437,'案件'!$A$6:$A$105,0)),"案件シートに無い番号です",IF(NOT(OR(D437="材料費",D437="労務費",D437="外注費",D437="経費")),"費目を4つから選んでください",IF(K437="",IF(AND(ISNUMBER(F437),NOT(ISNUMBER(J437))),IF(D437="労務費","単価がありません（設定の作業者名と同じ書き方に）","単価がありません"),IF(AND(ISNUMBER(J437),NOT(ISNUMBER(F437))),"数量がありません","金額がありません")),IF(NOT(ISNUMBER(A437)),"日付がありません（月別集計に入りません）",IF(AND(ISNUMBER(F437),ISNUMBER(J437),ISNUMBER(I437)),"数量×単価を使いました（金額の欄は使っていません）","")))))))</f>
        <v/>
      </c>
      <c r="N437" s="91">
        <f>IF(AND(B437&lt;&gt;"",B437='案件カード'!$C$3),COUNTIF($B$5:B437,'案件カード'!$C$3),"")</f>
        <v/>
      </c>
      <c r="O437" s="91">
        <f>IF(ISNUMBER(K437),IF(B437="",K437,IF(AND(ISNUMBER(MATCH(B437,'案件'!$A$6:$A$105,0)),OR(D437="材料費",D437="労務費",D437="外注費",D437="経費")),0,K437)),0)</f>
        <v/>
      </c>
    </row>
    <row r="438" ht="16" customHeight="1">
      <c r="A438" s="35" t="n"/>
      <c r="B438" s="36" t="n"/>
      <c r="C438" s="37">
        <f>IF(B438="","",IFERROR(INDEX('案件'!$B$6:$B$105,MATCH(B438,'案件'!$A$6:$A$105,0))&amp;"","（案件シートに無い番号）"))</f>
        <v/>
      </c>
      <c r="D438" s="36" t="n"/>
      <c r="E438" s="38" t="n"/>
      <c r="F438" s="39" t="n"/>
      <c r="G438" s="36" t="n"/>
      <c r="H438" s="40" t="n"/>
      <c r="I438" s="40" t="n"/>
      <c r="J438" s="41">
        <f>IF(ISNUMBER(H438),H438,IF(AND(D438="労務費",TRIM(E438)&lt;&gt;""),IFERROR(INDEX('設定'!$G$12:$G$31,MATCH(TRIM(E438),'設定'!$J$12:$J$31,0)),""),""))</f>
        <v/>
      </c>
      <c r="K438" s="30">
        <f>IF(AND(ISNUMBER(F438),ISNUMBER(J438)),ROUND(F438*J438,0),IF(ISNUMBER(I438),I438,""))</f>
        <v/>
      </c>
      <c r="L438" s="33" t="n"/>
      <c r="M438" s="34">
        <f>IF(COUNTA(A438:B438,D438:I438,L438)=0,"",IF(B438="","案件番号がありません",IF(ISNA(MATCH(B438,'案件'!$A$6:$A$105,0)),"案件シートに無い番号です",IF(NOT(OR(D438="材料費",D438="労務費",D438="外注費",D438="経費")),"費目を4つから選んでください",IF(K438="",IF(AND(ISNUMBER(F438),NOT(ISNUMBER(J438))),IF(D438="労務費","単価がありません（設定の作業者名と同じ書き方に）","単価がありません"),IF(AND(ISNUMBER(J438),NOT(ISNUMBER(F438))),"数量がありません","金額がありません")),IF(NOT(ISNUMBER(A438)),"日付がありません（月別集計に入りません）",IF(AND(ISNUMBER(F438),ISNUMBER(J438),ISNUMBER(I438)),"数量×単価を使いました（金額の欄は使っていません）","")))))))</f>
        <v/>
      </c>
      <c r="N438" s="91">
        <f>IF(AND(B438&lt;&gt;"",B438='案件カード'!$C$3),COUNTIF($B$5:B438,'案件カード'!$C$3),"")</f>
        <v/>
      </c>
      <c r="O438" s="91">
        <f>IF(ISNUMBER(K438),IF(B438="",K438,IF(AND(ISNUMBER(MATCH(B438,'案件'!$A$6:$A$105,0)),OR(D438="材料費",D438="労務費",D438="外注費",D438="経費")),0,K438)),0)</f>
        <v/>
      </c>
    </row>
    <row r="439" ht="16" customHeight="1">
      <c r="A439" s="35" t="n"/>
      <c r="B439" s="36" t="n"/>
      <c r="C439" s="37">
        <f>IF(B439="","",IFERROR(INDEX('案件'!$B$6:$B$105,MATCH(B439,'案件'!$A$6:$A$105,0))&amp;"","（案件シートに無い番号）"))</f>
        <v/>
      </c>
      <c r="D439" s="36" t="n"/>
      <c r="E439" s="38" t="n"/>
      <c r="F439" s="39" t="n"/>
      <c r="G439" s="36" t="n"/>
      <c r="H439" s="40" t="n"/>
      <c r="I439" s="40" t="n"/>
      <c r="J439" s="41">
        <f>IF(ISNUMBER(H439),H439,IF(AND(D439="労務費",TRIM(E439)&lt;&gt;""),IFERROR(INDEX('設定'!$G$12:$G$31,MATCH(TRIM(E439),'設定'!$J$12:$J$31,0)),""),""))</f>
        <v/>
      </c>
      <c r="K439" s="30">
        <f>IF(AND(ISNUMBER(F439),ISNUMBER(J439)),ROUND(F439*J439,0),IF(ISNUMBER(I439),I439,""))</f>
        <v/>
      </c>
      <c r="L439" s="33" t="n"/>
      <c r="M439" s="34">
        <f>IF(COUNTA(A439:B439,D439:I439,L439)=0,"",IF(B439="","案件番号がありません",IF(ISNA(MATCH(B439,'案件'!$A$6:$A$105,0)),"案件シートに無い番号です",IF(NOT(OR(D439="材料費",D439="労務費",D439="外注費",D439="経費")),"費目を4つから選んでください",IF(K439="",IF(AND(ISNUMBER(F439),NOT(ISNUMBER(J439))),IF(D439="労務費","単価がありません（設定の作業者名と同じ書き方に）","単価がありません"),IF(AND(ISNUMBER(J439),NOT(ISNUMBER(F439))),"数量がありません","金額がありません")),IF(NOT(ISNUMBER(A439)),"日付がありません（月別集計に入りません）",IF(AND(ISNUMBER(F439),ISNUMBER(J439),ISNUMBER(I439)),"数量×単価を使いました（金額の欄は使っていません）","")))))))</f>
        <v/>
      </c>
      <c r="N439" s="91">
        <f>IF(AND(B439&lt;&gt;"",B439='案件カード'!$C$3),COUNTIF($B$5:B439,'案件カード'!$C$3),"")</f>
        <v/>
      </c>
      <c r="O439" s="91">
        <f>IF(ISNUMBER(K439),IF(B439="",K439,IF(AND(ISNUMBER(MATCH(B439,'案件'!$A$6:$A$105,0)),OR(D439="材料費",D439="労務費",D439="外注費",D439="経費")),0,K439)),0)</f>
        <v/>
      </c>
    </row>
    <row r="440" ht="16" customHeight="1">
      <c r="A440" s="35" t="n"/>
      <c r="B440" s="36" t="n"/>
      <c r="C440" s="37">
        <f>IF(B440="","",IFERROR(INDEX('案件'!$B$6:$B$105,MATCH(B440,'案件'!$A$6:$A$105,0))&amp;"","（案件シートに無い番号）"))</f>
        <v/>
      </c>
      <c r="D440" s="36" t="n"/>
      <c r="E440" s="38" t="n"/>
      <c r="F440" s="39" t="n"/>
      <c r="G440" s="36" t="n"/>
      <c r="H440" s="40" t="n"/>
      <c r="I440" s="40" t="n"/>
      <c r="J440" s="41">
        <f>IF(ISNUMBER(H440),H440,IF(AND(D440="労務費",TRIM(E440)&lt;&gt;""),IFERROR(INDEX('設定'!$G$12:$G$31,MATCH(TRIM(E440),'設定'!$J$12:$J$31,0)),""),""))</f>
        <v/>
      </c>
      <c r="K440" s="30">
        <f>IF(AND(ISNUMBER(F440),ISNUMBER(J440)),ROUND(F440*J440,0),IF(ISNUMBER(I440),I440,""))</f>
        <v/>
      </c>
      <c r="L440" s="33" t="n"/>
      <c r="M440" s="34">
        <f>IF(COUNTA(A440:B440,D440:I440,L440)=0,"",IF(B440="","案件番号がありません",IF(ISNA(MATCH(B440,'案件'!$A$6:$A$105,0)),"案件シートに無い番号です",IF(NOT(OR(D440="材料費",D440="労務費",D440="外注費",D440="経費")),"費目を4つから選んでください",IF(K440="",IF(AND(ISNUMBER(F440),NOT(ISNUMBER(J440))),IF(D440="労務費","単価がありません（設定の作業者名と同じ書き方に）","単価がありません"),IF(AND(ISNUMBER(J440),NOT(ISNUMBER(F440))),"数量がありません","金額がありません")),IF(NOT(ISNUMBER(A440)),"日付がありません（月別集計に入りません）",IF(AND(ISNUMBER(F440),ISNUMBER(J440),ISNUMBER(I440)),"数量×単価を使いました（金額の欄は使っていません）","")))))))</f>
        <v/>
      </c>
      <c r="N440" s="91">
        <f>IF(AND(B440&lt;&gt;"",B440='案件カード'!$C$3),COUNTIF($B$5:B440,'案件カード'!$C$3),"")</f>
        <v/>
      </c>
      <c r="O440" s="91">
        <f>IF(ISNUMBER(K440),IF(B440="",K440,IF(AND(ISNUMBER(MATCH(B440,'案件'!$A$6:$A$105,0)),OR(D440="材料費",D440="労務費",D440="外注費",D440="経費")),0,K440)),0)</f>
        <v/>
      </c>
    </row>
    <row r="441" ht="16" customHeight="1">
      <c r="A441" s="35" t="n"/>
      <c r="B441" s="36" t="n"/>
      <c r="C441" s="37">
        <f>IF(B441="","",IFERROR(INDEX('案件'!$B$6:$B$105,MATCH(B441,'案件'!$A$6:$A$105,0))&amp;"","（案件シートに無い番号）"))</f>
        <v/>
      </c>
      <c r="D441" s="36" t="n"/>
      <c r="E441" s="38" t="n"/>
      <c r="F441" s="39" t="n"/>
      <c r="G441" s="36" t="n"/>
      <c r="H441" s="40" t="n"/>
      <c r="I441" s="40" t="n"/>
      <c r="J441" s="41">
        <f>IF(ISNUMBER(H441),H441,IF(AND(D441="労務費",TRIM(E441)&lt;&gt;""),IFERROR(INDEX('設定'!$G$12:$G$31,MATCH(TRIM(E441),'設定'!$J$12:$J$31,0)),""),""))</f>
        <v/>
      </c>
      <c r="K441" s="30">
        <f>IF(AND(ISNUMBER(F441),ISNUMBER(J441)),ROUND(F441*J441,0),IF(ISNUMBER(I441),I441,""))</f>
        <v/>
      </c>
      <c r="L441" s="33" t="n"/>
      <c r="M441" s="34">
        <f>IF(COUNTA(A441:B441,D441:I441,L441)=0,"",IF(B441="","案件番号がありません",IF(ISNA(MATCH(B441,'案件'!$A$6:$A$105,0)),"案件シートに無い番号です",IF(NOT(OR(D441="材料費",D441="労務費",D441="外注費",D441="経費")),"費目を4つから選んでください",IF(K441="",IF(AND(ISNUMBER(F441),NOT(ISNUMBER(J441))),IF(D441="労務費","単価がありません（設定の作業者名と同じ書き方に）","単価がありません"),IF(AND(ISNUMBER(J441),NOT(ISNUMBER(F441))),"数量がありません","金額がありません")),IF(NOT(ISNUMBER(A441)),"日付がありません（月別集計に入りません）",IF(AND(ISNUMBER(F441),ISNUMBER(J441),ISNUMBER(I441)),"数量×単価を使いました（金額の欄は使っていません）","")))))))</f>
        <v/>
      </c>
      <c r="N441" s="91">
        <f>IF(AND(B441&lt;&gt;"",B441='案件カード'!$C$3),COUNTIF($B$5:B441,'案件カード'!$C$3),"")</f>
        <v/>
      </c>
      <c r="O441" s="91">
        <f>IF(ISNUMBER(K441),IF(B441="",K441,IF(AND(ISNUMBER(MATCH(B441,'案件'!$A$6:$A$105,0)),OR(D441="材料費",D441="労務費",D441="外注費",D441="経費")),0,K441)),0)</f>
        <v/>
      </c>
    </row>
    <row r="442" ht="16" customHeight="1">
      <c r="A442" s="35" t="n"/>
      <c r="B442" s="36" t="n"/>
      <c r="C442" s="37">
        <f>IF(B442="","",IFERROR(INDEX('案件'!$B$6:$B$105,MATCH(B442,'案件'!$A$6:$A$105,0))&amp;"","（案件シートに無い番号）"))</f>
        <v/>
      </c>
      <c r="D442" s="36" t="n"/>
      <c r="E442" s="38" t="n"/>
      <c r="F442" s="39" t="n"/>
      <c r="G442" s="36" t="n"/>
      <c r="H442" s="40" t="n"/>
      <c r="I442" s="40" t="n"/>
      <c r="J442" s="41">
        <f>IF(ISNUMBER(H442),H442,IF(AND(D442="労務費",TRIM(E442)&lt;&gt;""),IFERROR(INDEX('設定'!$G$12:$G$31,MATCH(TRIM(E442),'設定'!$J$12:$J$31,0)),""),""))</f>
        <v/>
      </c>
      <c r="K442" s="30">
        <f>IF(AND(ISNUMBER(F442),ISNUMBER(J442)),ROUND(F442*J442,0),IF(ISNUMBER(I442),I442,""))</f>
        <v/>
      </c>
      <c r="L442" s="33" t="n"/>
      <c r="M442" s="34">
        <f>IF(COUNTA(A442:B442,D442:I442,L442)=0,"",IF(B442="","案件番号がありません",IF(ISNA(MATCH(B442,'案件'!$A$6:$A$105,0)),"案件シートに無い番号です",IF(NOT(OR(D442="材料費",D442="労務費",D442="外注費",D442="経費")),"費目を4つから選んでください",IF(K442="",IF(AND(ISNUMBER(F442),NOT(ISNUMBER(J442))),IF(D442="労務費","単価がありません（設定の作業者名と同じ書き方に）","単価がありません"),IF(AND(ISNUMBER(J442),NOT(ISNUMBER(F442))),"数量がありません","金額がありません")),IF(NOT(ISNUMBER(A442)),"日付がありません（月別集計に入りません）",IF(AND(ISNUMBER(F442),ISNUMBER(J442),ISNUMBER(I442)),"数量×単価を使いました（金額の欄は使っていません）","")))))))</f>
        <v/>
      </c>
      <c r="N442" s="91">
        <f>IF(AND(B442&lt;&gt;"",B442='案件カード'!$C$3),COUNTIF($B$5:B442,'案件カード'!$C$3),"")</f>
        <v/>
      </c>
      <c r="O442" s="91">
        <f>IF(ISNUMBER(K442),IF(B442="",K442,IF(AND(ISNUMBER(MATCH(B442,'案件'!$A$6:$A$105,0)),OR(D442="材料費",D442="労務費",D442="外注費",D442="経費")),0,K442)),0)</f>
        <v/>
      </c>
    </row>
    <row r="443" ht="16" customHeight="1">
      <c r="A443" s="35" t="n"/>
      <c r="B443" s="36" t="n"/>
      <c r="C443" s="37">
        <f>IF(B443="","",IFERROR(INDEX('案件'!$B$6:$B$105,MATCH(B443,'案件'!$A$6:$A$105,0))&amp;"","（案件シートに無い番号）"))</f>
        <v/>
      </c>
      <c r="D443" s="36" t="n"/>
      <c r="E443" s="38" t="n"/>
      <c r="F443" s="39" t="n"/>
      <c r="G443" s="36" t="n"/>
      <c r="H443" s="40" t="n"/>
      <c r="I443" s="40" t="n"/>
      <c r="J443" s="41">
        <f>IF(ISNUMBER(H443),H443,IF(AND(D443="労務費",TRIM(E443)&lt;&gt;""),IFERROR(INDEX('設定'!$G$12:$G$31,MATCH(TRIM(E443),'設定'!$J$12:$J$31,0)),""),""))</f>
        <v/>
      </c>
      <c r="K443" s="30">
        <f>IF(AND(ISNUMBER(F443),ISNUMBER(J443)),ROUND(F443*J443,0),IF(ISNUMBER(I443),I443,""))</f>
        <v/>
      </c>
      <c r="L443" s="33" t="n"/>
      <c r="M443" s="34">
        <f>IF(COUNTA(A443:B443,D443:I443,L443)=0,"",IF(B443="","案件番号がありません",IF(ISNA(MATCH(B443,'案件'!$A$6:$A$105,0)),"案件シートに無い番号です",IF(NOT(OR(D443="材料費",D443="労務費",D443="外注費",D443="経費")),"費目を4つから選んでください",IF(K443="",IF(AND(ISNUMBER(F443),NOT(ISNUMBER(J443))),IF(D443="労務費","単価がありません（設定の作業者名と同じ書き方に）","単価がありません"),IF(AND(ISNUMBER(J443),NOT(ISNUMBER(F443))),"数量がありません","金額がありません")),IF(NOT(ISNUMBER(A443)),"日付がありません（月別集計に入りません）",IF(AND(ISNUMBER(F443),ISNUMBER(J443),ISNUMBER(I443)),"数量×単価を使いました（金額の欄は使っていません）","")))))))</f>
        <v/>
      </c>
      <c r="N443" s="91">
        <f>IF(AND(B443&lt;&gt;"",B443='案件カード'!$C$3),COUNTIF($B$5:B443,'案件カード'!$C$3),"")</f>
        <v/>
      </c>
      <c r="O443" s="91">
        <f>IF(ISNUMBER(K443),IF(B443="",K443,IF(AND(ISNUMBER(MATCH(B443,'案件'!$A$6:$A$105,0)),OR(D443="材料費",D443="労務費",D443="外注費",D443="経費")),0,K443)),0)</f>
        <v/>
      </c>
    </row>
    <row r="444" ht="16" customHeight="1">
      <c r="A444" s="35" t="n"/>
      <c r="B444" s="36" t="n"/>
      <c r="C444" s="37">
        <f>IF(B444="","",IFERROR(INDEX('案件'!$B$6:$B$105,MATCH(B444,'案件'!$A$6:$A$105,0))&amp;"","（案件シートに無い番号）"))</f>
        <v/>
      </c>
      <c r="D444" s="36" t="n"/>
      <c r="E444" s="38" t="n"/>
      <c r="F444" s="39" t="n"/>
      <c r="G444" s="36" t="n"/>
      <c r="H444" s="40" t="n"/>
      <c r="I444" s="40" t="n"/>
      <c r="J444" s="41">
        <f>IF(ISNUMBER(H444),H444,IF(AND(D444="労務費",TRIM(E444)&lt;&gt;""),IFERROR(INDEX('設定'!$G$12:$G$31,MATCH(TRIM(E444),'設定'!$J$12:$J$31,0)),""),""))</f>
        <v/>
      </c>
      <c r="K444" s="30">
        <f>IF(AND(ISNUMBER(F444),ISNUMBER(J444)),ROUND(F444*J444,0),IF(ISNUMBER(I444),I444,""))</f>
        <v/>
      </c>
      <c r="L444" s="33" t="n"/>
      <c r="M444" s="34">
        <f>IF(COUNTA(A444:B444,D444:I444,L444)=0,"",IF(B444="","案件番号がありません",IF(ISNA(MATCH(B444,'案件'!$A$6:$A$105,0)),"案件シートに無い番号です",IF(NOT(OR(D444="材料費",D444="労務費",D444="外注費",D444="経費")),"費目を4つから選んでください",IF(K444="",IF(AND(ISNUMBER(F444),NOT(ISNUMBER(J444))),IF(D444="労務費","単価がありません（設定の作業者名と同じ書き方に）","単価がありません"),IF(AND(ISNUMBER(J444),NOT(ISNUMBER(F444))),"数量がありません","金額がありません")),IF(NOT(ISNUMBER(A444)),"日付がありません（月別集計に入りません）",IF(AND(ISNUMBER(F444),ISNUMBER(J444),ISNUMBER(I444)),"数量×単価を使いました（金額の欄は使っていません）","")))))))</f>
        <v/>
      </c>
      <c r="N444" s="91">
        <f>IF(AND(B444&lt;&gt;"",B444='案件カード'!$C$3),COUNTIF($B$5:B444,'案件カード'!$C$3),"")</f>
        <v/>
      </c>
      <c r="O444" s="91">
        <f>IF(ISNUMBER(K444),IF(B444="",K444,IF(AND(ISNUMBER(MATCH(B444,'案件'!$A$6:$A$105,0)),OR(D444="材料費",D444="労務費",D444="外注費",D444="経費")),0,K444)),0)</f>
        <v/>
      </c>
    </row>
    <row r="445" ht="16" customHeight="1">
      <c r="A445" s="35" t="n"/>
      <c r="B445" s="36" t="n"/>
      <c r="C445" s="37">
        <f>IF(B445="","",IFERROR(INDEX('案件'!$B$6:$B$105,MATCH(B445,'案件'!$A$6:$A$105,0))&amp;"","（案件シートに無い番号）"))</f>
        <v/>
      </c>
      <c r="D445" s="36" t="n"/>
      <c r="E445" s="38" t="n"/>
      <c r="F445" s="39" t="n"/>
      <c r="G445" s="36" t="n"/>
      <c r="H445" s="40" t="n"/>
      <c r="I445" s="40" t="n"/>
      <c r="J445" s="41">
        <f>IF(ISNUMBER(H445),H445,IF(AND(D445="労務費",TRIM(E445)&lt;&gt;""),IFERROR(INDEX('設定'!$G$12:$G$31,MATCH(TRIM(E445),'設定'!$J$12:$J$31,0)),""),""))</f>
        <v/>
      </c>
      <c r="K445" s="30">
        <f>IF(AND(ISNUMBER(F445),ISNUMBER(J445)),ROUND(F445*J445,0),IF(ISNUMBER(I445),I445,""))</f>
        <v/>
      </c>
      <c r="L445" s="33" t="n"/>
      <c r="M445" s="34">
        <f>IF(COUNTA(A445:B445,D445:I445,L445)=0,"",IF(B445="","案件番号がありません",IF(ISNA(MATCH(B445,'案件'!$A$6:$A$105,0)),"案件シートに無い番号です",IF(NOT(OR(D445="材料費",D445="労務費",D445="外注費",D445="経費")),"費目を4つから選んでください",IF(K445="",IF(AND(ISNUMBER(F445),NOT(ISNUMBER(J445))),IF(D445="労務費","単価がありません（設定の作業者名と同じ書き方に）","単価がありません"),IF(AND(ISNUMBER(J445),NOT(ISNUMBER(F445))),"数量がありません","金額がありません")),IF(NOT(ISNUMBER(A445)),"日付がありません（月別集計に入りません）",IF(AND(ISNUMBER(F445),ISNUMBER(J445),ISNUMBER(I445)),"数量×単価を使いました（金額の欄は使っていません）","")))))))</f>
        <v/>
      </c>
      <c r="N445" s="91">
        <f>IF(AND(B445&lt;&gt;"",B445='案件カード'!$C$3),COUNTIF($B$5:B445,'案件カード'!$C$3),"")</f>
        <v/>
      </c>
      <c r="O445" s="91">
        <f>IF(ISNUMBER(K445),IF(B445="",K445,IF(AND(ISNUMBER(MATCH(B445,'案件'!$A$6:$A$105,0)),OR(D445="材料費",D445="労務費",D445="外注費",D445="経費")),0,K445)),0)</f>
        <v/>
      </c>
    </row>
    <row r="446" ht="16" customHeight="1">
      <c r="A446" s="35" t="n"/>
      <c r="B446" s="36" t="n"/>
      <c r="C446" s="37">
        <f>IF(B446="","",IFERROR(INDEX('案件'!$B$6:$B$105,MATCH(B446,'案件'!$A$6:$A$105,0))&amp;"","（案件シートに無い番号）"))</f>
        <v/>
      </c>
      <c r="D446" s="36" t="n"/>
      <c r="E446" s="38" t="n"/>
      <c r="F446" s="39" t="n"/>
      <c r="G446" s="36" t="n"/>
      <c r="H446" s="40" t="n"/>
      <c r="I446" s="40" t="n"/>
      <c r="J446" s="41">
        <f>IF(ISNUMBER(H446),H446,IF(AND(D446="労務費",TRIM(E446)&lt;&gt;""),IFERROR(INDEX('設定'!$G$12:$G$31,MATCH(TRIM(E446),'設定'!$J$12:$J$31,0)),""),""))</f>
        <v/>
      </c>
      <c r="K446" s="30">
        <f>IF(AND(ISNUMBER(F446),ISNUMBER(J446)),ROUND(F446*J446,0),IF(ISNUMBER(I446),I446,""))</f>
        <v/>
      </c>
      <c r="L446" s="33" t="n"/>
      <c r="M446" s="34">
        <f>IF(COUNTA(A446:B446,D446:I446,L446)=0,"",IF(B446="","案件番号がありません",IF(ISNA(MATCH(B446,'案件'!$A$6:$A$105,0)),"案件シートに無い番号です",IF(NOT(OR(D446="材料費",D446="労務費",D446="外注費",D446="経費")),"費目を4つから選んでください",IF(K446="",IF(AND(ISNUMBER(F446),NOT(ISNUMBER(J446))),IF(D446="労務費","単価がありません（設定の作業者名と同じ書き方に）","単価がありません"),IF(AND(ISNUMBER(J446),NOT(ISNUMBER(F446))),"数量がありません","金額がありません")),IF(NOT(ISNUMBER(A446)),"日付がありません（月別集計に入りません）",IF(AND(ISNUMBER(F446),ISNUMBER(J446),ISNUMBER(I446)),"数量×単価を使いました（金額の欄は使っていません）","")))))))</f>
        <v/>
      </c>
      <c r="N446" s="91">
        <f>IF(AND(B446&lt;&gt;"",B446='案件カード'!$C$3),COUNTIF($B$5:B446,'案件カード'!$C$3),"")</f>
        <v/>
      </c>
      <c r="O446" s="91">
        <f>IF(ISNUMBER(K446),IF(B446="",K446,IF(AND(ISNUMBER(MATCH(B446,'案件'!$A$6:$A$105,0)),OR(D446="材料費",D446="労務費",D446="外注費",D446="経費")),0,K446)),0)</f>
        <v/>
      </c>
    </row>
    <row r="447" ht="16" customHeight="1">
      <c r="A447" s="35" t="n"/>
      <c r="B447" s="36" t="n"/>
      <c r="C447" s="37">
        <f>IF(B447="","",IFERROR(INDEX('案件'!$B$6:$B$105,MATCH(B447,'案件'!$A$6:$A$105,0))&amp;"","（案件シートに無い番号）"))</f>
        <v/>
      </c>
      <c r="D447" s="36" t="n"/>
      <c r="E447" s="38" t="n"/>
      <c r="F447" s="39" t="n"/>
      <c r="G447" s="36" t="n"/>
      <c r="H447" s="40" t="n"/>
      <c r="I447" s="40" t="n"/>
      <c r="J447" s="41">
        <f>IF(ISNUMBER(H447),H447,IF(AND(D447="労務費",TRIM(E447)&lt;&gt;""),IFERROR(INDEX('設定'!$G$12:$G$31,MATCH(TRIM(E447),'設定'!$J$12:$J$31,0)),""),""))</f>
        <v/>
      </c>
      <c r="K447" s="30">
        <f>IF(AND(ISNUMBER(F447),ISNUMBER(J447)),ROUND(F447*J447,0),IF(ISNUMBER(I447),I447,""))</f>
        <v/>
      </c>
      <c r="L447" s="33" t="n"/>
      <c r="M447" s="34">
        <f>IF(COUNTA(A447:B447,D447:I447,L447)=0,"",IF(B447="","案件番号がありません",IF(ISNA(MATCH(B447,'案件'!$A$6:$A$105,0)),"案件シートに無い番号です",IF(NOT(OR(D447="材料費",D447="労務費",D447="外注費",D447="経費")),"費目を4つから選んでください",IF(K447="",IF(AND(ISNUMBER(F447),NOT(ISNUMBER(J447))),IF(D447="労務費","単価がありません（設定の作業者名と同じ書き方に）","単価がありません"),IF(AND(ISNUMBER(J447),NOT(ISNUMBER(F447))),"数量がありません","金額がありません")),IF(NOT(ISNUMBER(A447)),"日付がありません（月別集計に入りません）",IF(AND(ISNUMBER(F447),ISNUMBER(J447),ISNUMBER(I447)),"数量×単価を使いました（金額の欄は使っていません）","")))))))</f>
        <v/>
      </c>
      <c r="N447" s="91">
        <f>IF(AND(B447&lt;&gt;"",B447='案件カード'!$C$3),COUNTIF($B$5:B447,'案件カード'!$C$3),"")</f>
        <v/>
      </c>
      <c r="O447" s="91">
        <f>IF(ISNUMBER(K447),IF(B447="",K447,IF(AND(ISNUMBER(MATCH(B447,'案件'!$A$6:$A$105,0)),OR(D447="材料費",D447="労務費",D447="外注費",D447="経費")),0,K447)),0)</f>
        <v/>
      </c>
    </row>
    <row r="448" ht="16" customHeight="1">
      <c r="A448" s="35" t="n"/>
      <c r="B448" s="36" t="n"/>
      <c r="C448" s="37">
        <f>IF(B448="","",IFERROR(INDEX('案件'!$B$6:$B$105,MATCH(B448,'案件'!$A$6:$A$105,0))&amp;"","（案件シートに無い番号）"))</f>
        <v/>
      </c>
      <c r="D448" s="36" t="n"/>
      <c r="E448" s="38" t="n"/>
      <c r="F448" s="39" t="n"/>
      <c r="G448" s="36" t="n"/>
      <c r="H448" s="40" t="n"/>
      <c r="I448" s="40" t="n"/>
      <c r="J448" s="41">
        <f>IF(ISNUMBER(H448),H448,IF(AND(D448="労務費",TRIM(E448)&lt;&gt;""),IFERROR(INDEX('設定'!$G$12:$G$31,MATCH(TRIM(E448),'設定'!$J$12:$J$31,0)),""),""))</f>
        <v/>
      </c>
      <c r="K448" s="30">
        <f>IF(AND(ISNUMBER(F448),ISNUMBER(J448)),ROUND(F448*J448,0),IF(ISNUMBER(I448),I448,""))</f>
        <v/>
      </c>
      <c r="L448" s="33" t="n"/>
      <c r="M448" s="34">
        <f>IF(COUNTA(A448:B448,D448:I448,L448)=0,"",IF(B448="","案件番号がありません",IF(ISNA(MATCH(B448,'案件'!$A$6:$A$105,0)),"案件シートに無い番号です",IF(NOT(OR(D448="材料費",D448="労務費",D448="外注費",D448="経費")),"費目を4つから選んでください",IF(K448="",IF(AND(ISNUMBER(F448),NOT(ISNUMBER(J448))),IF(D448="労務費","単価がありません（設定の作業者名と同じ書き方に）","単価がありません"),IF(AND(ISNUMBER(J448),NOT(ISNUMBER(F448))),"数量がありません","金額がありません")),IF(NOT(ISNUMBER(A448)),"日付がありません（月別集計に入りません）",IF(AND(ISNUMBER(F448),ISNUMBER(J448),ISNUMBER(I448)),"数量×単価を使いました（金額の欄は使っていません）","")))))))</f>
        <v/>
      </c>
      <c r="N448" s="91">
        <f>IF(AND(B448&lt;&gt;"",B448='案件カード'!$C$3),COUNTIF($B$5:B448,'案件カード'!$C$3),"")</f>
        <v/>
      </c>
      <c r="O448" s="91">
        <f>IF(ISNUMBER(K448),IF(B448="",K448,IF(AND(ISNUMBER(MATCH(B448,'案件'!$A$6:$A$105,0)),OR(D448="材料費",D448="労務費",D448="外注費",D448="経費")),0,K448)),0)</f>
        <v/>
      </c>
    </row>
    <row r="449" ht="16" customHeight="1">
      <c r="A449" s="35" t="n"/>
      <c r="B449" s="36" t="n"/>
      <c r="C449" s="37">
        <f>IF(B449="","",IFERROR(INDEX('案件'!$B$6:$B$105,MATCH(B449,'案件'!$A$6:$A$105,0))&amp;"","（案件シートに無い番号）"))</f>
        <v/>
      </c>
      <c r="D449" s="36" t="n"/>
      <c r="E449" s="38" t="n"/>
      <c r="F449" s="39" t="n"/>
      <c r="G449" s="36" t="n"/>
      <c r="H449" s="40" t="n"/>
      <c r="I449" s="40" t="n"/>
      <c r="J449" s="41">
        <f>IF(ISNUMBER(H449),H449,IF(AND(D449="労務費",TRIM(E449)&lt;&gt;""),IFERROR(INDEX('設定'!$G$12:$G$31,MATCH(TRIM(E449),'設定'!$J$12:$J$31,0)),""),""))</f>
        <v/>
      </c>
      <c r="K449" s="30">
        <f>IF(AND(ISNUMBER(F449),ISNUMBER(J449)),ROUND(F449*J449,0),IF(ISNUMBER(I449),I449,""))</f>
        <v/>
      </c>
      <c r="L449" s="33" t="n"/>
      <c r="M449" s="34">
        <f>IF(COUNTA(A449:B449,D449:I449,L449)=0,"",IF(B449="","案件番号がありません",IF(ISNA(MATCH(B449,'案件'!$A$6:$A$105,0)),"案件シートに無い番号です",IF(NOT(OR(D449="材料費",D449="労務費",D449="外注費",D449="経費")),"費目を4つから選んでください",IF(K449="",IF(AND(ISNUMBER(F449),NOT(ISNUMBER(J449))),IF(D449="労務費","単価がありません（設定の作業者名と同じ書き方に）","単価がありません"),IF(AND(ISNUMBER(J449),NOT(ISNUMBER(F449))),"数量がありません","金額がありません")),IF(NOT(ISNUMBER(A449)),"日付がありません（月別集計に入りません）",IF(AND(ISNUMBER(F449),ISNUMBER(J449),ISNUMBER(I449)),"数量×単価を使いました（金額の欄は使っていません）","")))))))</f>
        <v/>
      </c>
      <c r="N449" s="91">
        <f>IF(AND(B449&lt;&gt;"",B449='案件カード'!$C$3),COUNTIF($B$5:B449,'案件カード'!$C$3),"")</f>
        <v/>
      </c>
      <c r="O449" s="91">
        <f>IF(ISNUMBER(K449),IF(B449="",K449,IF(AND(ISNUMBER(MATCH(B449,'案件'!$A$6:$A$105,0)),OR(D449="材料費",D449="労務費",D449="外注費",D449="経費")),0,K449)),0)</f>
        <v/>
      </c>
    </row>
    <row r="450" ht="16" customHeight="1">
      <c r="A450" s="35" t="n"/>
      <c r="B450" s="36" t="n"/>
      <c r="C450" s="37">
        <f>IF(B450="","",IFERROR(INDEX('案件'!$B$6:$B$105,MATCH(B450,'案件'!$A$6:$A$105,0))&amp;"","（案件シートに無い番号）"))</f>
        <v/>
      </c>
      <c r="D450" s="36" t="n"/>
      <c r="E450" s="38" t="n"/>
      <c r="F450" s="39" t="n"/>
      <c r="G450" s="36" t="n"/>
      <c r="H450" s="40" t="n"/>
      <c r="I450" s="40" t="n"/>
      <c r="J450" s="41">
        <f>IF(ISNUMBER(H450),H450,IF(AND(D450="労務費",TRIM(E450)&lt;&gt;""),IFERROR(INDEX('設定'!$G$12:$G$31,MATCH(TRIM(E450),'設定'!$J$12:$J$31,0)),""),""))</f>
        <v/>
      </c>
      <c r="K450" s="30">
        <f>IF(AND(ISNUMBER(F450),ISNUMBER(J450)),ROUND(F450*J450,0),IF(ISNUMBER(I450),I450,""))</f>
        <v/>
      </c>
      <c r="L450" s="33" t="n"/>
      <c r="M450" s="34">
        <f>IF(COUNTA(A450:B450,D450:I450,L450)=0,"",IF(B450="","案件番号がありません",IF(ISNA(MATCH(B450,'案件'!$A$6:$A$105,0)),"案件シートに無い番号です",IF(NOT(OR(D450="材料費",D450="労務費",D450="外注費",D450="経費")),"費目を4つから選んでください",IF(K450="",IF(AND(ISNUMBER(F450),NOT(ISNUMBER(J450))),IF(D450="労務費","単価がありません（設定の作業者名と同じ書き方に）","単価がありません"),IF(AND(ISNUMBER(J450),NOT(ISNUMBER(F450))),"数量がありません","金額がありません")),IF(NOT(ISNUMBER(A450)),"日付がありません（月別集計に入りません）",IF(AND(ISNUMBER(F450),ISNUMBER(J450),ISNUMBER(I450)),"数量×単価を使いました（金額の欄は使っていません）","")))))))</f>
        <v/>
      </c>
      <c r="N450" s="91">
        <f>IF(AND(B450&lt;&gt;"",B450='案件カード'!$C$3),COUNTIF($B$5:B450,'案件カード'!$C$3),"")</f>
        <v/>
      </c>
      <c r="O450" s="91">
        <f>IF(ISNUMBER(K450),IF(B450="",K450,IF(AND(ISNUMBER(MATCH(B450,'案件'!$A$6:$A$105,0)),OR(D450="材料費",D450="労務費",D450="外注費",D450="経費")),0,K450)),0)</f>
        <v/>
      </c>
    </row>
    <row r="451" ht="16" customHeight="1">
      <c r="A451" s="35" t="n"/>
      <c r="B451" s="36" t="n"/>
      <c r="C451" s="37">
        <f>IF(B451="","",IFERROR(INDEX('案件'!$B$6:$B$105,MATCH(B451,'案件'!$A$6:$A$105,0))&amp;"","（案件シートに無い番号）"))</f>
        <v/>
      </c>
      <c r="D451" s="36" t="n"/>
      <c r="E451" s="38" t="n"/>
      <c r="F451" s="39" t="n"/>
      <c r="G451" s="36" t="n"/>
      <c r="H451" s="40" t="n"/>
      <c r="I451" s="40" t="n"/>
      <c r="J451" s="41">
        <f>IF(ISNUMBER(H451),H451,IF(AND(D451="労務費",TRIM(E451)&lt;&gt;""),IFERROR(INDEX('設定'!$G$12:$G$31,MATCH(TRIM(E451),'設定'!$J$12:$J$31,0)),""),""))</f>
        <v/>
      </c>
      <c r="K451" s="30">
        <f>IF(AND(ISNUMBER(F451),ISNUMBER(J451)),ROUND(F451*J451,0),IF(ISNUMBER(I451),I451,""))</f>
        <v/>
      </c>
      <c r="L451" s="33" t="n"/>
      <c r="M451" s="34">
        <f>IF(COUNTA(A451:B451,D451:I451,L451)=0,"",IF(B451="","案件番号がありません",IF(ISNA(MATCH(B451,'案件'!$A$6:$A$105,0)),"案件シートに無い番号です",IF(NOT(OR(D451="材料費",D451="労務費",D451="外注費",D451="経費")),"費目を4つから選んでください",IF(K451="",IF(AND(ISNUMBER(F451),NOT(ISNUMBER(J451))),IF(D451="労務費","単価がありません（設定の作業者名と同じ書き方に）","単価がありません"),IF(AND(ISNUMBER(J451),NOT(ISNUMBER(F451))),"数量がありません","金額がありません")),IF(NOT(ISNUMBER(A451)),"日付がありません（月別集計に入りません）",IF(AND(ISNUMBER(F451),ISNUMBER(J451),ISNUMBER(I451)),"数量×単価を使いました（金額の欄は使っていません）","")))))))</f>
        <v/>
      </c>
      <c r="N451" s="91">
        <f>IF(AND(B451&lt;&gt;"",B451='案件カード'!$C$3),COUNTIF($B$5:B451,'案件カード'!$C$3),"")</f>
        <v/>
      </c>
      <c r="O451" s="91">
        <f>IF(ISNUMBER(K451),IF(B451="",K451,IF(AND(ISNUMBER(MATCH(B451,'案件'!$A$6:$A$105,0)),OR(D451="材料費",D451="労務費",D451="外注費",D451="経費")),0,K451)),0)</f>
        <v/>
      </c>
    </row>
    <row r="452" ht="16" customHeight="1">
      <c r="A452" s="35" t="n"/>
      <c r="B452" s="36" t="n"/>
      <c r="C452" s="37">
        <f>IF(B452="","",IFERROR(INDEX('案件'!$B$6:$B$105,MATCH(B452,'案件'!$A$6:$A$105,0))&amp;"","（案件シートに無い番号）"))</f>
        <v/>
      </c>
      <c r="D452" s="36" t="n"/>
      <c r="E452" s="38" t="n"/>
      <c r="F452" s="39" t="n"/>
      <c r="G452" s="36" t="n"/>
      <c r="H452" s="40" t="n"/>
      <c r="I452" s="40" t="n"/>
      <c r="J452" s="41">
        <f>IF(ISNUMBER(H452),H452,IF(AND(D452="労務費",TRIM(E452)&lt;&gt;""),IFERROR(INDEX('設定'!$G$12:$G$31,MATCH(TRIM(E452),'設定'!$J$12:$J$31,0)),""),""))</f>
        <v/>
      </c>
      <c r="K452" s="30">
        <f>IF(AND(ISNUMBER(F452),ISNUMBER(J452)),ROUND(F452*J452,0),IF(ISNUMBER(I452),I452,""))</f>
        <v/>
      </c>
      <c r="L452" s="33" t="n"/>
      <c r="M452" s="34">
        <f>IF(COUNTA(A452:B452,D452:I452,L452)=0,"",IF(B452="","案件番号がありません",IF(ISNA(MATCH(B452,'案件'!$A$6:$A$105,0)),"案件シートに無い番号です",IF(NOT(OR(D452="材料費",D452="労務費",D452="外注費",D452="経費")),"費目を4つから選んでください",IF(K452="",IF(AND(ISNUMBER(F452),NOT(ISNUMBER(J452))),IF(D452="労務費","単価がありません（設定の作業者名と同じ書き方に）","単価がありません"),IF(AND(ISNUMBER(J452),NOT(ISNUMBER(F452))),"数量がありません","金額がありません")),IF(NOT(ISNUMBER(A452)),"日付がありません（月別集計に入りません）",IF(AND(ISNUMBER(F452),ISNUMBER(J452),ISNUMBER(I452)),"数量×単価を使いました（金額の欄は使っていません）","")))))))</f>
        <v/>
      </c>
      <c r="N452" s="91">
        <f>IF(AND(B452&lt;&gt;"",B452='案件カード'!$C$3),COUNTIF($B$5:B452,'案件カード'!$C$3),"")</f>
        <v/>
      </c>
      <c r="O452" s="91">
        <f>IF(ISNUMBER(K452),IF(B452="",K452,IF(AND(ISNUMBER(MATCH(B452,'案件'!$A$6:$A$105,0)),OR(D452="材料費",D452="労務費",D452="外注費",D452="経費")),0,K452)),0)</f>
        <v/>
      </c>
    </row>
    <row r="453" ht="16" customHeight="1">
      <c r="A453" s="35" t="n"/>
      <c r="B453" s="36" t="n"/>
      <c r="C453" s="37">
        <f>IF(B453="","",IFERROR(INDEX('案件'!$B$6:$B$105,MATCH(B453,'案件'!$A$6:$A$105,0))&amp;"","（案件シートに無い番号）"))</f>
        <v/>
      </c>
      <c r="D453" s="36" t="n"/>
      <c r="E453" s="38" t="n"/>
      <c r="F453" s="39" t="n"/>
      <c r="G453" s="36" t="n"/>
      <c r="H453" s="40" t="n"/>
      <c r="I453" s="40" t="n"/>
      <c r="J453" s="41">
        <f>IF(ISNUMBER(H453),H453,IF(AND(D453="労務費",TRIM(E453)&lt;&gt;""),IFERROR(INDEX('設定'!$G$12:$G$31,MATCH(TRIM(E453),'設定'!$J$12:$J$31,0)),""),""))</f>
        <v/>
      </c>
      <c r="K453" s="30">
        <f>IF(AND(ISNUMBER(F453),ISNUMBER(J453)),ROUND(F453*J453,0),IF(ISNUMBER(I453),I453,""))</f>
        <v/>
      </c>
      <c r="L453" s="33" t="n"/>
      <c r="M453" s="34">
        <f>IF(COUNTA(A453:B453,D453:I453,L453)=0,"",IF(B453="","案件番号がありません",IF(ISNA(MATCH(B453,'案件'!$A$6:$A$105,0)),"案件シートに無い番号です",IF(NOT(OR(D453="材料費",D453="労務費",D453="外注費",D453="経費")),"費目を4つから選んでください",IF(K453="",IF(AND(ISNUMBER(F453),NOT(ISNUMBER(J453))),IF(D453="労務費","単価がありません（設定の作業者名と同じ書き方に）","単価がありません"),IF(AND(ISNUMBER(J453),NOT(ISNUMBER(F453))),"数量がありません","金額がありません")),IF(NOT(ISNUMBER(A453)),"日付がありません（月別集計に入りません）",IF(AND(ISNUMBER(F453),ISNUMBER(J453),ISNUMBER(I453)),"数量×単価を使いました（金額の欄は使っていません）","")))))))</f>
        <v/>
      </c>
      <c r="N453" s="91">
        <f>IF(AND(B453&lt;&gt;"",B453='案件カード'!$C$3),COUNTIF($B$5:B453,'案件カード'!$C$3),"")</f>
        <v/>
      </c>
      <c r="O453" s="91">
        <f>IF(ISNUMBER(K453),IF(B453="",K453,IF(AND(ISNUMBER(MATCH(B453,'案件'!$A$6:$A$105,0)),OR(D453="材料費",D453="労務費",D453="外注費",D453="経費")),0,K453)),0)</f>
        <v/>
      </c>
    </row>
    <row r="454" ht="16" customHeight="1">
      <c r="A454" s="35" t="n"/>
      <c r="B454" s="36" t="n"/>
      <c r="C454" s="37">
        <f>IF(B454="","",IFERROR(INDEX('案件'!$B$6:$B$105,MATCH(B454,'案件'!$A$6:$A$105,0))&amp;"","（案件シートに無い番号）"))</f>
        <v/>
      </c>
      <c r="D454" s="36" t="n"/>
      <c r="E454" s="38" t="n"/>
      <c r="F454" s="39" t="n"/>
      <c r="G454" s="36" t="n"/>
      <c r="H454" s="40" t="n"/>
      <c r="I454" s="40" t="n"/>
      <c r="J454" s="41">
        <f>IF(ISNUMBER(H454),H454,IF(AND(D454="労務費",TRIM(E454)&lt;&gt;""),IFERROR(INDEX('設定'!$G$12:$G$31,MATCH(TRIM(E454),'設定'!$J$12:$J$31,0)),""),""))</f>
        <v/>
      </c>
      <c r="K454" s="30">
        <f>IF(AND(ISNUMBER(F454),ISNUMBER(J454)),ROUND(F454*J454,0),IF(ISNUMBER(I454),I454,""))</f>
        <v/>
      </c>
      <c r="L454" s="33" t="n"/>
      <c r="M454" s="34">
        <f>IF(COUNTA(A454:B454,D454:I454,L454)=0,"",IF(B454="","案件番号がありません",IF(ISNA(MATCH(B454,'案件'!$A$6:$A$105,0)),"案件シートに無い番号です",IF(NOT(OR(D454="材料費",D454="労務費",D454="外注費",D454="経費")),"費目を4つから選んでください",IF(K454="",IF(AND(ISNUMBER(F454),NOT(ISNUMBER(J454))),IF(D454="労務費","単価がありません（設定の作業者名と同じ書き方に）","単価がありません"),IF(AND(ISNUMBER(J454),NOT(ISNUMBER(F454))),"数量がありません","金額がありません")),IF(NOT(ISNUMBER(A454)),"日付がありません（月別集計に入りません）",IF(AND(ISNUMBER(F454),ISNUMBER(J454),ISNUMBER(I454)),"数量×単価を使いました（金額の欄は使っていません）","")))))))</f>
        <v/>
      </c>
      <c r="N454" s="91">
        <f>IF(AND(B454&lt;&gt;"",B454='案件カード'!$C$3),COUNTIF($B$5:B454,'案件カード'!$C$3),"")</f>
        <v/>
      </c>
      <c r="O454" s="91">
        <f>IF(ISNUMBER(K454),IF(B454="",K454,IF(AND(ISNUMBER(MATCH(B454,'案件'!$A$6:$A$105,0)),OR(D454="材料費",D454="労務費",D454="外注費",D454="経費")),0,K454)),0)</f>
        <v/>
      </c>
    </row>
    <row r="455" ht="16" customHeight="1">
      <c r="A455" s="35" t="n"/>
      <c r="B455" s="36" t="n"/>
      <c r="C455" s="37">
        <f>IF(B455="","",IFERROR(INDEX('案件'!$B$6:$B$105,MATCH(B455,'案件'!$A$6:$A$105,0))&amp;"","（案件シートに無い番号）"))</f>
        <v/>
      </c>
      <c r="D455" s="36" t="n"/>
      <c r="E455" s="38" t="n"/>
      <c r="F455" s="39" t="n"/>
      <c r="G455" s="36" t="n"/>
      <c r="H455" s="40" t="n"/>
      <c r="I455" s="40" t="n"/>
      <c r="J455" s="41">
        <f>IF(ISNUMBER(H455),H455,IF(AND(D455="労務費",TRIM(E455)&lt;&gt;""),IFERROR(INDEX('設定'!$G$12:$G$31,MATCH(TRIM(E455),'設定'!$J$12:$J$31,0)),""),""))</f>
        <v/>
      </c>
      <c r="K455" s="30">
        <f>IF(AND(ISNUMBER(F455),ISNUMBER(J455)),ROUND(F455*J455,0),IF(ISNUMBER(I455),I455,""))</f>
        <v/>
      </c>
      <c r="L455" s="33" t="n"/>
      <c r="M455" s="34">
        <f>IF(COUNTA(A455:B455,D455:I455,L455)=0,"",IF(B455="","案件番号がありません",IF(ISNA(MATCH(B455,'案件'!$A$6:$A$105,0)),"案件シートに無い番号です",IF(NOT(OR(D455="材料費",D455="労務費",D455="外注費",D455="経費")),"費目を4つから選んでください",IF(K455="",IF(AND(ISNUMBER(F455),NOT(ISNUMBER(J455))),IF(D455="労務費","単価がありません（設定の作業者名と同じ書き方に）","単価がありません"),IF(AND(ISNUMBER(J455),NOT(ISNUMBER(F455))),"数量がありません","金額がありません")),IF(NOT(ISNUMBER(A455)),"日付がありません（月別集計に入りません）",IF(AND(ISNUMBER(F455),ISNUMBER(J455),ISNUMBER(I455)),"数量×単価を使いました（金額の欄は使っていません）","")))))))</f>
        <v/>
      </c>
      <c r="N455" s="91">
        <f>IF(AND(B455&lt;&gt;"",B455='案件カード'!$C$3),COUNTIF($B$5:B455,'案件カード'!$C$3),"")</f>
        <v/>
      </c>
      <c r="O455" s="91">
        <f>IF(ISNUMBER(K455),IF(B455="",K455,IF(AND(ISNUMBER(MATCH(B455,'案件'!$A$6:$A$105,0)),OR(D455="材料費",D455="労務費",D455="外注費",D455="経費")),0,K455)),0)</f>
        <v/>
      </c>
    </row>
    <row r="456" ht="16" customHeight="1">
      <c r="A456" s="35" t="n"/>
      <c r="B456" s="36" t="n"/>
      <c r="C456" s="37">
        <f>IF(B456="","",IFERROR(INDEX('案件'!$B$6:$B$105,MATCH(B456,'案件'!$A$6:$A$105,0))&amp;"","（案件シートに無い番号）"))</f>
        <v/>
      </c>
      <c r="D456" s="36" t="n"/>
      <c r="E456" s="38" t="n"/>
      <c r="F456" s="39" t="n"/>
      <c r="G456" s="36" t="n"/>
      <c r="H456" s="40" t="n"/>
      <c r="I456" s="40" t="n"/>
      <c r="J456" s="41">
        <f>IF(ISNUMBER(H456),H456,IF(AND(D456="労務費",TRIM(E456)&lt;&gt;""),IFERROR(INDEX('設定'!$G$12:$G$31,MATCH(TRIM(E456),'設定'!$J$12:$J$31,0)),""),""))</f>
        <v/>
      </c>
      <c r="K456" s="30">
        <f>IF(AND(ISNUMBER(F456),ISNUMBER(J456)),ROUND(F456*J456,0),IF(ISNUMBER(I456),I456,""))</f>
        <v/>
      </c>
      <c r="L456" s="33" t="n"/>
      <c r="M456" s="34">
        <f>IF(COUNTA(A456:B456,D456:I456,L456)=0,"",IF(B456="","案件番号がありません",IF(ISNA(MATCH(B456,'案件'!$A$6:$A$105,0)),"案件シートに無い番号です",IF(NOT(OR(D456="材料費",D456="労務費",D456="外注費",D456="経費")),"費目を4つから選んでください",IF(K456="",IF(AND(ISNUMBER(F456),NOT(ISNUMBER(J456))),IF(D456="労務費","単価がありません（設定の作業者名と同じ書き方に）","単価がありません"),IF(AND(ISNUMBER(J456),NOT(ISNUMBER(F456))),"数量がありません","金額がありません")),IF(NOT(ISNUMBER(A456)),"日付がありません（月別集計に入りません）",IF(AND(ISNUMBER(F456),ISNUMBER(J456),ISNUMBER(I456)),"数量×単価を使いました（金額の欄は使っていません）","")))))))</f>
        <v/>
      </c>
      <c r="N456" s="91">
        <f>IF(AND(B456&lt;&gt;"",B456='案件カード'!$C$3),COUNTIF($B$5:B456,'案件カード'!$C$3),"")</f>
        <v/>
      </c>
      <c r="O456" s="91">
        <f>IF(ISNUMBER(K456),IF(B456="",K456,IF(AND(ISNUMBER(MATCH(B456,'案件'!$A$6:$A$105,0)),OR(D456="材料費",D456="労務費",D456="外注費",D456="経費")),0,K456)),0)</f>
        <v/>
      </c>
    </row>
    <row r="457" ht="16" customHeight="1">
      <c r="A457" s="35" t="n"/>
      <c r="B457" s="36" t="n"/>
      <c r="C457" s="37">
        <f>IF(B457="","",IFERROR(INDEX('案件'!$B$6:$B$105,MATCH(B457,'案件'!$A$6:$A$105,0))&amp;"","（案件シートに無い番号）"))</f>
        <v/>
      </c>
      <c r="D457" s="36" t="n"/>
      <c r="E457" s="38" t="n"/>
      <c r="F457" s="39" t="n"/>
      <c r="G457" s="36" t="n"/>
      <c r="H457" s="40" t="n"/>
      <c r="I457" s="40" t="n"/>
      <c r="J457" s="41">
        <f>IF(ISNUMBER(H457),H457,IF(AND(D457="労務費",TRIM(E457)&lt;&gt;""),IFERROR(INDEX('設定'!$G$12:$G$31,MATCH(TRIM(E457),'設定'!$J$12:$J$31,0)),""),""))</f>
        <v/>
      </c>
      <c r="K457" s="30">
        <f>IF(AND(ISNUMBER(F457),ISNUMBER(J457)),ROUND(F457*J457,0),IF(ISNUMBER(I457),I457,""))</f>
        <v/>
      </c>
      <c r="L457" s="33" t="n"/>
      <c r="M457" s="34">
        <f>IF(COUNTA(A457:B457,D457:I457,L457)=0,"",IF(B457="","案件番号がありません",IF(ISNA(MATCH(B457,'案件'!$A$6:$A$105,0)),"案件シートに無い番号です",IF(NOT(OR(D457="材料費",D457="労務費",D457="外注費",D457="経費")),"費目を4つから選んでください",IF(K457="",IF(AND(ISNUMBER(F457),NOT(ISNUMBER(J457))),IF(D457="労務費","単価がありません（設定の作業者名と同じ書き方に）","単価がありません"),IF(AND(ISNUMBER(J457),NOT(ISNUMBER(F457))),"数量がありません","金額がありません")),IF(NOT(ISNUMBER(A457)),"日付がありません（月別集計に入りません）",IF(AND(ISNUMBER(F457),ISNUMBER(J457),ISNUMBER(I457)),"数量×単価を使いました（金額の欄は使っていません）","")))))))</f>
        <v/>
      </c>
      <c r="N457" s="91">
        <f>IF(AND(B457&lt;&gt;"",B457='案件カード'!$C$3),COUNTIF($B$5:B457,'案件カード'!$C$3),"")</f>
        <v/>
      </c>
      <c r="O457" s="91">
        <f>IF(ISNUMBER(K457),IF(B457="",K457,IF(AND(ISNUMBER(MATCH(B457,'案件'!$A$6:$A$105,0)),OR(D457="材料費",D457="労務費",D457="外注費",D457="経費")),0,K457)),0)</f>
        <v/>
      </c>
    </row>
    <row r="458" ht="16" customHeight="1">
      <c r="A458" s="35" t="n"/>
      <c r="B458" s="36" t="n"/>
      <c r="C458" s="37">
        <f>IF(B458="","",IFERROR(INDEX('案件'!$B$6:$B$105,MATCH(B458,'案件'!$A$6:$A$105,0))&amp;"","（案件シートに無い番号）"))</f>
        <v/>
      </c>
      <c r="D458" s="36" t="n"/>
      <c r="E458" s="38" t="n"/>
      <c r="F458" s="39" t="n"/>
      <c r="G458" s="36" t="n"/>
      <c r="H458" s="40" t="n"/>
      <c r="I458" s="40" t="n"/>
      <c r="J458" s="41">
        <f>IF(ISNUMBER(H458),H458,IF(AND(D458="労務費",TRIM(E458)&lt;&gt;""),IFERROR(INDEX('設定'!$G$12:$G$31,MATCH(TRIM(E458),'設定'!$J$12:$J$31,0)),""),""))</f>
        <v/>
      </c>
      <c r="K458" s="30">
        <f>IF(AND(ISNUMBER(F458),ISNUMBER(J458)),ROUND(F458*J458,0),IF(ISNUMBER(I458),I458,""))</f>
        <v/>
      </c>
      <c r="L458" s="33" t="n"/>
      <c r="M458" s="34">
        <f>IF(COUNTA(A458:B458,D458:I458,L458)=0,"",IF(B458="","案件番号がありません",IF(ISNA(MATCH(B458,'案件'!$A$6:$A$105,0)),"案件シートに無い番号です",IF(NOT(OR(D458="材料費",D458="労務費",D458="外注費",D458="経費")),"費目を4つから選んでください",IF(K458="",IF(AND(ISNUMBER(F458),NOT(ISNUMBER(J458))),IF(D458="労務費","単価がありません（設定の作業者名と同じ書き方に）","単価がありません"),IF(AND(ISNUMBER(J458),NOT(ISNUMBER(F458))),"数量がありません","金額がありません")),IF(NOT(ISNUMBER(A458)),"日付がありません（月別集計に入りません）",IF(AND(ISNUMBER(F458),ISNUMBER(J458),ISNUMBER(I458)),"数量×単価を使いました（金額の欄は使っていません）","")))))))</f>
        <v/>
      </c>
      <c r="N458" s="91">
        <f>IF(AND(B458&lt;&gt;"",B458='案件カード'!$C$3),COUNTIF($B$5:B458,'案件カード'!$C$3),"")</f>
        <v/>
      </c>
      <c r="O458" s="91">
        <f>IF(ISNUMBER(K458),IF(B458="",K458,IF(AND(ISNUMBER(MATCH(B458,'案件'!$A$6:$A$105,0)),OR(D458="材料費",D458="労務費",D458="外注費",D458="経費")),0,K458)),0)</f>
        <v/>
      </c>
    </row>
    <row r="459" ht="16" customHeight="1">
      <c r="A459" s="35" t="n"/>
      <c r="B459" s="36" t="n"/>
      <c r="C459" s="37">
        <f>IF(B459="","",IFERROR(INDEX('案件'!$B$6:$B$105,MATCH(B459,'案件'!$A$6:$A$105,0))&amp;"","（案件シートに無い番号）"))</f>
        <v/>
      </c>
      <c r="D459" s="36" t="n"/>
      <c r="E459" s="38" t="n"/>
      <c r="F459" s="39" t="n"/>
      <c r="G459" s="36" t="n"/>
      <c r="H459" s="40" t="n"/>
      <c r="I459" s="40" t="n"/>
      <c r="J459" s="41">
        <f>IF(ISNUMBER(H459),H459,IF(AND(D459="労務費",TRIM(E459)&lt;&gt;""),IFERROR(INDEX('設定'!$G$12:$G$31,MATCH(TRIM(E459),'設定'!$J$12:$J$31,0)),""),""))</f>
        <v/>
      </c>
      <c r="K459" s="30">
        <f>IF(AND(ISNUMBER(F459),ISNUMBER(J459)),ROUND(F459*J459,0),IF(ISNUMBER(I459),I459,""))</f>
        <v/>
      </c>
      <c r="L459" s="33" t="n"/>
      <c r="M459" s="34">
        <f>IF(COUNTA(A459:B459,D459:I459,L459)=0,"",IF(B459="","案件番号がありません",IF(ISNA(MATCH(B459,'案件'!$A$6:$A$105,0)),"案件シートに無い番号です",IF(NOT(OR(D459="材料費",D459="労務費",D459="外注費",D459="経費")),"費目を4つから選んでください",IF(K459="",IF(AND(ISNUMBER(F459),NOT(ISNUMBER(J459))),IF(D459="労務費","単価がありません（設定の作業者名と同じ書き方に）","単価がありません"),IF(AND(ISNUMBER(J459),NOT(ISNUMBER(F459))),"数量がありません","金額がありません")),IF(NOT(ISNUMBER(A459)),"日付がありません（月別集計に入りません）",IF(AND(ISNUMBER(F459),ISNUMBER(J459),ISNUMBER(I459)),"数量×単価を使いました（金額の欄は使っていません）","")))))))</f>
        <v/>
      </c>
      <c r="N459" s="91">
        <f>IF(AND(B459&lt;&gt;"",B459='案件カード'!$C$3),COUNTIF($B$5:B459,'案件カード'!$C$3),"")</f>
        <v/>
      </c>
      <c r="O459" s="91">
        <f>IF(ISNUMBER(K459),IF(B459="",K459,IF(AND(ISNUMBER(MATCH(B459,'案件'!$A$6:$A$105,0)),OR(D459="材料費",D459="労務費",D459="外注費",D459="経費")),0,K459)),0)</f>
        <v/>
      </c>
    </row>
    <row r="460" ht="16" customHeight="1">
      <c r="A460" s="35" t="n"/>
      <c r="B460" s="36" t="n"/>
      <c r="C460" s="37">
        <f>IF(B460="","",IFERROR(INDEX('案件'!$B$6:$B$105,MATCH(B460,'案件'!$A$6:$A$105,0))&amp;"","（案件シートに無い番号）"))</f>
        <v/>
      </c>
      <c r="D460" s="36" t="n"/>
      <c r="E460" s="38" t="n"/>
      <c r="F460" s="39" t="n"/>
      <c r="G460" s="36" t="n"/>
      <c r="H460" s="40" t="n"/>
      <c r="I460" s="40" t="n"/>
      <c r="J460" s="41">
        <f>IF(ISNUMBER(H460),H460,IF(AND(D460="労務費",TRIM(E460)&lt;&gt;""),IFERROR(INDEX('設定'!$G$12:$G$31,MATCH(TRIM(E460),'設定'!$J$12:$J$31,0)),""),""))</f>
        <v/>
      </c>
      <c r="K460" s="30">
        <f>IF(AND(ISNUMBER(F460),ISNUMBER(J460)),ROUND(F460*J460,0),IF(ISNUMBER(I460),I460,""))</f>
        <v/>
      </c>
      <c r="L460" s="33" t="n"/>
      <c r="M460" s="34">
        <f>IF(COUNTA(A460:B460,D460:I460,L460)=0,"",IF(B460="","案件番号がありません",IF(ISNA(MATCH(B460,'案件'!$A$6:$A$105,0)),"案件シートに無い番号です",IF(NOT(OR(D460="材料費",D460="労務費",D460="外注費",D460="経費")),"費目を4つから選んでください",IF(K460="",IF(AND(ISNUMBER(F460),NOT(ISNUMBER(J460))),IF(D460="労務費","単価がありません（設定の作業者名と同じ書き方に）","単価がありません"),IF(AND(ISNUMBER(J460),NOT(ISNUMBER(F460))),"数量がありません","金額がありません")),IF(NOT(ISNUMBER(A460)),"日付がありません（月別集計に入りません）",IF(AND(ISNUMBER(F460),ISNUMBER(J460),ISNUMBER(I460)),"数量×単価を使いました（金額の欄は使っていません）","")))))))</f>
        <v/>
      </c>
      <c r="N460" s="91">
        <f>IF(AND(B460&lt;&gt;"",B460='案件カード'!$C$3),COUNTIF($B$5:B460,'案件カード'!$C$3),"")</f>
        <v/>
      </c>
      <c r="O460" s="91">
        <f>IF(ISNUMBER(K460),IF(B460="",K460,IF(AND(ISNUMBER(MATCH(B460,'案件'!$A$6:$A$105,0)),OR(D460="材料費",D460="労務費",D460="外注費",D460="経費")),0,K460)),0)</f>
        <v/>
      </c>
    </row>
    <row r="461" ht="16" customHeight="1">
      <c r="A461" s="35" t="n"/>
      <c r="B461" s="36" t="n"/>
      <c r="C461" s="37">
        <f>IF(B461="","",IFERROR(INDEX('案件'!$B$6:$B$105,MATCH(B461,'案件'!$A$6:$A$105,0))&amp;"","（案件シートに無い番号）"))</f>
        <v/>
      </c>
      <c r="D461" s="36" t="n"/>
      <c r="E461" s="38" t="n"/>
      <c r="F461" s="39" t="n"/>
      <c r="G461" s="36" t="n"/>
      <c r="H461" s="40" t="n"/>
      <c r="I461" s="40" t="n"/>
      <c r="J461" s="41">
        <f>IF(ISNUMBER(H461),H461,IF(AND(D461="労務費",TRIM(E461)&lt;&gt;""),IFERROR(INDEX('設定'!$G$12:$G$31,MATCH(TRIM(E461),'設定'!$J$12:$J$31,0)),""),""))</f>
        <v/>
      </c>
      <c r="K461" s="30">
        <f>IF(AND(ISNUMBER(F461),ISNUMBER(J461)),ROUND(F461*J461,0),IF(ISNUMBER(I461),I461,""))</f>
        <v/>
      </c>
      <c r="L461" s="33" t="n"/>
      <c r="M461" s="34">
        <f>IF(COUNTA(A461:B461,D461:I461,L461)=0,"",IF(B461="","案件番号がありません",IF(ISNA(MATCH(B461,'案件'!$A$6:$A$105,0)),"案件シートに無い番号です",IF(NOT(OR(D461="材料費",D461="労務費",D461="外注費",D461="経費")),"費目を4つから選んでください",IF(K461="",IF(AND(ISNUMBER(F461),NOT(ISNUMBER(J461))),IF(D461="労務費","単価がありません（設定の作業者名と同じ書き方に）","単価がありません"),IF(AND(ISNUMBER(J461),NOT(ISNUMBER(F461))),"数量がありません","金額がありません")),IF(NOT(ISNUMBER(A461)),"日付がありません（月別集計に入りません）",IF(AND(ISNUMBER(F461),ISNUMBER(J461),ISNUMBER(I461)),"数量×単価を使いました（金額の欄は使っていません）","")))))))</f>
        <v/>
      </c>
      <c r="N461" s="91">
        <f>IF(AND(B461&lt;&gt;"",B461='案件カード'!$C$3),COUNTIF($B$5:B461,'案件カード'!$C$3),"")</f>
        <v/>
      </c>
      <c r="O461" s="91">
        <f>IF(ISNUMBER(K461),IF(B461="",K461,IF(AND(ISNUMBER(MATCH(B461,'案件'!$A$6:$A$105,0)),OR(D461="材料費",D461="労務費",D461="外注費",D461="経費")),0,K461)),0)</f>
        <v/>
      </c>
    </row>
    <row r="462" ht="16" customHeight="1">
      <c r="A462" s="35" t="n"/>
      <c r="B462" s="36" t="n"/>
      <c r="C462" s="37">
        <f>IF(B462="","",IFERROR(INDEX('案件'!$B$6:$B$105,MATCH(B462,'案件'!$A$6:$A$105,0))&amp;"","（案件シートに無い番号）"))</f>
        <v/>
      </c>
      <c r="D462" s="36" t="n"/>
      <c r="E462" s="38" t="n"/>
      <c r="F462" s="39" t="n"/>
      <c r="G462" s="36" t="n"/>
      <c r="H462" s="40" t="n"/>
      <c r="I462" s="40" t="n"/>
      <c r="J462" s="41">
        <f>IF(ISNUMBER(H462),H462,IF(AND(D462="労務費",TRIM(E462)&lt;&gt;""),IFERROR(INDEX('設定'!$G$12:$G$31,MATCH(TRIM(E462),'設定'!$J$12:$J$31,0)),""),""))</f>
        <v/>
      </c>
      <c r="K462" s="30">
        <f>IF(AND(ISNUMBER(F462),ISNUMBER(J462)),ROUND(F462*J462,0),IF(ISNUMBER(I462),I462,""))</f>
        <v/>
      </c>
      <c r="L462" s="33" t="n"/>
      <c r="M462" s="34">
        <f>IF(COUNTA(A462:B462,D462:I462,L462)=0,"",IF(B462="","案件番号がありません",IF(ISNA(MATCH(B462,'案件'!$A$6:$A$105,0)),"案件シートに無い番号です",IF(NOT(OR(D462="材料費",D462="労務費",D462="外注費",D462="経費")),"費目を4つから選んでください",IF(K462="",IF(AND(ISNUMBER(F462),NOT(ISNUMBER(J462))),IF(D462="労務費","単価がありません（設定の作業者名と同じ書き方に）","単価がありません"),IF(AND(ISNUMBER(J462),NOT(ISNUMBER(F462))),"数量がありません","金額がありません")),IF(NOT(ISNUMBER(A462)),"日付がありません（月別集計に入りません）",IF(AND(ISNUMBER(F462),ISNUMBER(J462),ISNUMBER(I462)),"数量×単価を使いました（金額の欄は使っていません）","")))))))</f>
        <v/>
      </c>
      <c r="N462" s="91">
        <f>IF(AND(B462&lt;&gt;"",B462='案件カード'!$C$3),COUNTIF($B$5:B462,'案件カード'!$C$3),"")</f>
        <v/>
      </c>
      <c r="O462" s="91">
        <f>IF(ISNUMBER(K462),IF(B462="",K462,IF(AND(ISNUMBER(MATCH(B462,'案件'!$A$6:$A$105,0)),OR(D462="材料費",D462="労務費",D462="外注費",D462="経費")),0,K462)),0)</f>
        <v/>
      </c>
    </row>
    <row r="463" ht="16" customHeight="1">
      <c r="A463" s="35" t="n"/>
      <c r="B463" s="36" t="n"/>
      <c r="C463" s="37">
        <f>IF(B463="","",IFERROR(INDEX('案件'!$B$6:$B$105,MATCH(B463,'案件'!$A$6:$A$105,0))&amp;"","（案件シートに無い番号）"))</f>
        <v/>
      </c>
      <c r="D463" s="36" t="n"/>
      <c r="E463" s="38" t="n"/>
      <c r="F463" s="39" t="n"/>
      <c r="G463" s="36" t="n"/>
      <c r="H463" s="40" t="n"/>
      <c r="I463" s="40" t="n"/>
      <c r="J463" s="41">
        <f>IF(ISNUMBER(H463),H463,IF(AND(D463="労務費",TRIM(E463)&lt;&gt;""),IFERROR(INDEX('設定'!$G$12:$G$31,MATCH(TRIM(E463),'設定'!$J$12:$J$31,0)),""),""))</f>
        <v/>
      </c>
      <c r="K463" s="30">
        <f>IF(AND(ISNUMBER(F463),ISNUMBER(J463)),ROUND(F463*J463,0),IF(ISNUMBER(I463),I463,""))</f>
        <v/>
      </c>
      <c r="L463" s="33" t="n"/>
      <c r="M463" s="34">
        <f>IF(COUNTA(A463:B463,D463:I463,L463)=0,"",IF(B463="","案件番号がありません",IF(ISNA(MATCH(B463,'案件'!$A$6:$A$105,0)),"案件シートに無い番号です",IF(NOT(OR(D463="材料費",D463="労務費",D463="外注費",D463="経費")),"費目を4つから選んでください",IF(K463="",IF(AND(ISNUMBER(F463),NOT(ISNUMBER(J463))),IF(D463="労務費","単価がありません（設定の作業者名と同じ書き方に）","単価がありません"),IF(AND(ISNUMBER(J463),NOT(ISNUMBER(F463))),"数量がありません","金額がありません")),IF(NOT(ISNUMBER(A463)),"日付がありません（月別集計に入りません）",IF(AND(ISNUMBER(F463),ISNUMBER(J463),ISNUMBER(I463)),"数量×単価を使いました（金額の欄は使っていません）","")))))))</f>
        <v/>
      </c>
      <c r="N463" s="91">
        <f>IF(AND(B463&lt;&gt;"",B463='案件カード'!$C$3),COUNTIF($B$5:B463,'案件カード'!$C$3),"")</f>
        <v/>
      </c>
      <c r="O463" s="91">
        <f>IF(ISNUMBER(K463),IF(B463="",K463,IF(AND(ISNUMBER(MATCH(B463,'案件'!$A$6:$A$105,0)),OR(D463="材料費",D463="労務費",D463="外注費",D463="経費")),0,K463)),0)</f>
        <v/>
      </c>
    </row>
    <row r="464" ht="16" customHeight="1">
      <c r="A464" s="35" t="n"/>
      <c r="B464" s="36" t="n"/>
      <c r="C464" s="37">
        <f>IF(B464="","",IFERROR(INDEX('案件'!$B$6:$B$105,MATCH(B464,'案件'!$A$6:$A$105,0))&amp;"","（案件シートに無い番号）"))</f>
        <v/>
      </c>
      <c r="D464" s="36" t="n"/>
      <c r="E464" s="38" t="n"/>
      <c r="F464" s="39" t="n"/>
      <c r="G464" s="36" t="n"/>
      <c r="H464" s="40" t="n"/>
      <c r="I464" s="40" t="n"/>
      <c r="J464" s="41">
        <f>IF(ISNUMBER(H464),H464,IF(AND(D464="労務費",TRIM(E464)&lt;&gt;""),IFERROR(INDEX('設定'!$G$12:$G$31,MATCH(TRIM(E464),'設定'!$J$12:$J$31,0)),""),""))</f>
        <v/>
      </c>
      <c r="K464" s="30">
        <f>IF(AND(ISNUMBER(F464),ISNUMBER(J464)),ROUND(F464*J464,0),IF(ISNUMBER(I464),I464,""))</f>
        <v/>
      </c>
      <c r="L464" s="33" t="n"/>
      <c r="M464" s="34">
        <f>IF(COUNTA(A464:B464,D464:I464,L464)=0,"",IF(B464="","案件番号がありません",IF(ISNA(MATCH(B464,'案件'!$A$6:$A$105,0)),"案件シートに無い番号です",IF(NOT(OR(D464="材料費",D464="労務費",D464="外注費",D464="経費")),"費目を4つから選んでください",IF(K464="",IF(AND(ISNUMBER(F464),NOT(ISNUMBER(J464))),IF(D464="労務費","単価がありません（設定の作業者名と同じ書き方に）","単価がありません"),IF(AND(ISNUMBER(J464),NOT(ISNUMBER(F464))),"数量がありません","金額がありません")),IF(NOT(ISNUMBER(A464)),"日付がありません（月別集計に入りません）",IF(AND(ISNUMBER(F464),ISNUMBER(J464),ISNUMBER(I464)),"数量×単価を使いました（金額の欄は使っていません）","")))))))</f>
        <v/>
      </c>
      <c r="N464" s="91">
        <f>IF(AND(B464&lt;&gt;"",B464='案件カード'!$C$3),COUNTIF($B$5:B464,'案件カード'!$C$3),"")</f>
        <v/>
      </c>
      <c r="O464" s="91">
        <f>IF(ISNUMBER(K464),IF(B464="",K464,IF(AND(ISNUMBER(MATCH(B464,'案件'!$A$6:$A$105,0)),OR(D464="材料費",D464="労務費",D464="外注費",D464="経費")),0,K464)),0)</f>
        <v/>
      </c>
    </row>
    <row r="465" ht="16" customHeight="1">
      <c r="A465" s="35" t="n"/>
      <c r="B465" s="36" t="n"/>
      <c r="C465" s="37">
        <f>IF(B465="","",IFERROR(INDEX('案件'!$B$6:$B$105,MATCH(B465,'案件'!$A$6:$A$105,0))&amp;"","（案件シートに無い番号）"))</f>
        <v/>
      </c>
      <c r="D465" s="36" t="n"/>
      <c r="E465" s="38" t="n"/>
      <c r="F465" s="39" t="n"/>
      <c r="G465" s="36" t="n"/>
      <c r="H465" s="40" t="n"/>
      <c r="I465" s="40" t="n"/>
      <c r="J465" s="41">
        <f>IF(ISNUMBER(H465),H465,IF(AND(D465="労務費",TRIM(E465)&lt;&gt;""),IFERROR(INDEX('設定'!$G$12:$G$31,MATCH(TRIM(E465),'設定'!$J$12:$J$31,0)),""),""))</f>
        <v/>
      </c>
      <c r="K465" s="30">
        <f>IF(AND(ISNUMBER(F465),ISNUMBER(J465)),ROUND(F465*J465,0),IF(ISNUMBER(I465),I465,""))</f>
        <v/>
      </c>
      <c r="L465" s="33" t="n"/>
      <c r="M465" s="34">
        <f>IF(COUNTA(A465:B465,D465:I465,L465)=0,"",IF(B465="","案件番号がありません",IF(ISNA(MATCH(B465,'案件'!$A$6:$A$105,0)),"案件シートに無い番号です",IF(NOT(OR(D465="材料費",D465="労務費",D465="外注費",D465="経費")),"費目を4つから選んでください",IF(K465="",IF(AND(ISNUMBER(F465),NOT(ISNUMBER(J465))),IF(D465="労務費","単価がありません（設定の作業者名と同じ書き方に）","単価がありません"),IF(AND(ISNUMBER(J465),NOT(ISNUMBER(F465))),"数量がありません","金額がありません")),IF(NOT(ISNUMBER(A465)),"日付がありません（月別集計に入りません）",IF(AND(ISNUMBER(F465),ISNUMBER(J465),ISNUMBER(I465)),"数量×単価を使いました（金額の欄は使っていません）","")))))))</f>
        <v/>
      </c>
      <c r="N465" s="91">
        <f>IF(AND(B465&lt;&gt;"",B465='案件カード'!$C$3),COUNTIF($B$5:B465,'案件カード'!$C$3),"")</f>
        <v/>
      </c>
      <c r="O465" s="91">
        <f>IF(ISNUMBER(K465),IF(B465="",K465,IF(AND(ISNUMBER(MATCH(B465,'案件'!$A$6:$A$105,0)),OR(D465="材料費",D465="労務費",D465="外注費",D465="経費")),0,K465)),0)</f>
        <v/>
      </c>
    </row>
    <row r="466" ht="16" customHeight="1">
      <c r="A466" s="35" t="n"/>
      <c r="B466" s="36" t="n"/>
      <c r="C466" s="37">
        <f>IF(B466="","",IFERROR(INDEX('案件'!$B$6:$B$105,MATCH(B466,'案件'!$A$6:$A$105,0))&amp;"","（案件シートに無い番号）"))</f>
        <v/>
      </c>
      <c r="D466" s="36" t="n"/>
      <c r="E466" s="38" t="n"/>
      <c r="F466" s="39" t="n"/>
      <c r="G466" s="36" t="n"/>
      <c r="H466" s="40" t="n"/>
      <c r="I466" s="40" t="n"/>
      <c r="J466" s="41">
        <f>IF(ISNUMBER(H466),H466,IF(AND(D466="労務費",TRIM(E466)&lt;&gt;""),IFERROR(INDEX('設定'!$G$12:$G$31,MATCH(TRIM(E466),'設定'!$J$12:$J$31,0)),""),""))</f>
        <v/>
      </c>
      <c r="K466" s="30">
        <f>IF(AND(ISNUMBER(F466),ISNUMBER(J466)),ROUND(F466*J466,0),IF(ISNUMBER(I466),I466,""))</f>
        <v/>
      </c>
      <c r="L466" s="33" t="n"/>
      <c r="M466" s="34">
        <f>IF(COUNTA(A466:B466,D466:I466,L466)=0,"",IF(B466="","案件番号がありません",IF(ISNA(MATCH(B466,'案件'!$A$6:$A$105,0)),"案件シートに無い番号です",IF(NOT(OR(D466="材料費",D466="労務費",D466="外注費",D466="経費")),"費目を4つから選んでください",IF(K466="",IF(AND(ISNUMBER(F466),NOT(ISNUMBER(J466))),IF(D466="労務費","単価がありません（設定の作業者名と同じ書き方に）","単価がありません"),IF(AND(ISNUMBER(J466),NOT(ISNUMBER(F466))),"数量がありません","金額がありません")),IF(NOT(ISNUMBER(A466)),"日付がありません（月別集計に入りません）",IF(AND(ISNUMBER(F466),ISNUMBER(J466),ISNUMBER(I466)),"数量×単価を使いました（金額の欄は使っていません）","")))))))</f>
        <v/>
      </c>
      <c r="N466" s="91">
        <f>IF(AND(B466&lt;&gt;"",B466='案件カード'!$C$3),COUNTIF($B$5:B466,'案件カード'!$C$3),"")</f>
        <v/>
      </c>
      <c r="O466" s="91">
        <f>IF(ISNUMBER(K466),IF(B466="",K466,IF(AND(ISNUMBER(MATCH(B466,'案件'!$A$6:$A$105,0)),OR(D466="材料費",D466="労務費",D466="外注費",D466="経費")),0,K466)),0)</f>
        <v/>
      </c>
    </row>
    <row r="467" ht="16" customHeight="1">
      <c r="A467" s="35" t="n"/>
      <c r="B467" s="36" t="n"/>
      <c r="C467" s="37">
        <f>IF(B467="","",IFERROR(INDEX('案件'!$B$6:$B$105,MATCH(B467,'案件'!$A$6:$A$105,0))&amp;"","（案件シートに無い番号）"))</f>
        <v/>
      </c>
      <c r="D467" s="36" t="n"/>
      <c r="E467" s="38" t="n"/>
      <c r="F467" s="39" t="n"/>
      <c r="G467" s="36" t="n"/>
      <c r="H467" s="40" t="n"/>
      <c r="I467" s="40" t="n"/>
      <c r="J467" s="41">
        <f>IF(ISNUMBER(H467),H467,IF(AND(D467="労務費",TRIM(E467)&lt;&gt;""),IFERROR(INDEX('設定'!$G$12:$G$31,MATCH(TRIM(E467),'設定'!$J$12:$J$31,0)),""),""))</f>
        <v/>
      </c>
      <c r="K467" s="30">
        <f>IF(AND(ISNUMBER(F467),ISNUMBER(J467)),ROUND(F467*J467,0),IF(ISNUMBER(I467),I467,""))</f>
        <v/>
      </c>
      <c r="L467" s="33" t="n"/>
      <c r="M467" s="34">
        <f>IF(COUNTA(A467:B467,D467:I467,L467)=0,"",IF(B467="","案件番号がありません",IF(ISNA(MATCH(B467,'案件'!$A$6:$A$105,0)),"案件シートに無い番号です",IF(NOT(OR(D467="材料費",D467="労務費",D467="外注費",D467="経費")),"費目を4つから選んでください",IF(K467="",IF(AND(ISNUMBER(F467),NOT(ISNUMBER(J467))),IF(D467="労務費","単価がありません（設定の作業者名と同じ書き方に）","単価がありません"),IF(AND(ISNUMBER(J467),NOT(ISNUMBER(F467))),"数量がありません","金額がありません")),IF(NOT(ISNUMBER(A467)),"日付がありません（月別集計に入りません）",IF(AND(ISNUMBER(F467),ISNUMBER(J467),ISNUMBER(I467)),"数量×単価を使いました（金額の欄は使っていません）","")))))))</f>
        <v/>
      </c>
      <c r="N467" s="91">
        <f>IF(AND(B467&lt;&gt;"",B467='案件カード'!$C$3),COUNTIF($B$5:B467,'案件カード'!$C$3),"")</f>
        <v/>
      </c>
      <c r="O467" s="91">
        <f>IF(ISNUMBER(K467),IF(B467="",K467,IF(AND(ISNUMBER(MATCH(B467,'案件'!$A$6:$A$105,0)),OR(D467="材料費",D467="労務費",D467="外注費",D467="経費")),0,K467)),0)</f>
        <v/>
      </c>
    </row>
    <row r="468" ht="16" customHeight="1">
      <c r="A468" s="35" t="n"/>
      <c r="B468" s="36" t="n"/>
      <c r="C468" s="37">
        <f>IF(B468="","",IFERROR(INDEX('案件'!$B$6:$B$105,MATCH(B468,'案件'!$A$6:$A$105,0))&amp;"","（案件シートに無い番号）"))</f>
        <v/>
      </c>
      <c r="D468" s="36" t="n"/>
      <c r="E468" s="38" t="n"/>
      <c r="F468" s="39" t="n"/>
      <c r="G468" s="36" t="n"/>
      <c r="H468" s="40" t="n"/>
      <c r="I468" s="40" t="n"/>
      <c r="J468" s="41">
        <f>IF(ISNUMBER(H468),H468,IF(AND(D468="労務費",TRIM(E468)&lt;&gt;""),IFERROR(INDEX('設定'!$G$12:$G$31,MATCH(TRIM(E468),'設定'!$J$12:$J$31,0)),""),""))</f>
        <v/>
      </c>
      <c r="K468" s="30">
        <f>IF(AND(ISNUMBER(F468),ISNUMBER(J468)),ROUND(F468*J468,0),IF(ISNUMBER(I468),I468,""))</f>
        <v/>
      </c>
      <c r="L468" s="33" t="n"/>
      <c r="M468" s="34">
        <f>IF(COUNTA(A468:B468,D468:I468,L468)=0,"",IF(B468="","案件番号がありません",IF(ISNA(MATCH(B468,'案件'!$A$6:$A$105,0)),"案件シートに無い番号です",IF(NOT(OR(D468="材料費",D468="労務費",D468="外注費",D468="経費")),"費目を4つから選んでください",IF(K468="",IF(AND(ISNUMBER(F468),NOT(ISNUMBER(J468))),IF(D468="労務費","単価がありません（設定の作業者名と同じ書き方に）","単価がありません"),IF(AND(ISNUMBER(J468),NOT(ISNUMBER(F468))),"数量がありません","金額がありません")),IF(NOT(ISNUMBER(A468)),"日付がありません（月別集計に入りません）",IF(AND(ISNUMBER(F468),ISNUMBER(J468),ISNUMBER(I468)),"数量×単価を使いました（金額の欄は使っていません）","")))))))</f>
        <v/>
      </c>
      <c r="N468" s="91">
        <f>IF(AND(B468&lt;&gt;"",B468='案件カード'!$C$3),COUNTIF($B$5:B468,'案件カード'!$C$3),"")</f>
        <v/>
      </c>
      <c r="O468" s="91">
        <f>IF(ISNUMBER(K468),IF(B468="",K468,IF(AND(ISNUMBER(MATCH(B468,'案件'!$A$6:$A$105,0)),OR(D468="材料費",D468="労務費",D468="外注費",D468="経費")),0,K468)),0)</f>
        <v/>
      </c>
    </row>
    <row r="469" ht="16" customHeight="1">
      <c r="A469" s="35" t="n"/>
      <c r="B469" s="36" t="n"/>
      <c r="C469" s="37">
        <f>IF(B469="","",IFERROR(INDEX('案件'!$B$6:$B$105,MATCH(B469,'案件'!$A$6:$A$105,0))&amp;"","（案件シートに無い番号）"))</f>
        <v/>
      </c>
      <c r="D469" s="36" t="n"/>
      <c r="E469" s="38" t="n"/>
      <c r="F469" s="39" t="n"/>
      <c r="G469" s="36" t="n"/>
      <c r="H469" s="40" t="n"/>
      <c r="I469" s="40" t="n"/>
      <c r="J469" s="41">
        <f>IF(ISNUMBER(H469),H469,IF(AND(D469="労務費",TRIM(E469)&lt;&gt;""),IFERROR(INDEX('設定'!$G$12:$G$31,MATCH(TRIM(E469),'設定'!$J$12:$J$31,0)),""),""))</f>
        <v/>
      </c>
      <c r="K469" s="30">
        <f>IF(AND(ISNUMBER(F469),ISNUMBER(J469)),ROUND(F469*J469,0),IF(ISNUMBER(I469),I469,""))</f>
        <v/>
      </c>
      <c r="L469" s="33" t="n"/>
      <c r="M469" s="34">
        <f>IF(COUNTA(A469:B469,D469:I469,L469)=0,"",IF(B469="","案件番号がありません",IF(ISNA(MATCH(B469,'案件'!$A$6:$A$105,0)),"案件シートに無い番号です",IF(NOT(OR(D469="材料費",D469="労務費",D469="外注費",D469="経費")),"費目を4つから選んでください",IF(K469="",IF(AND(ISNUMBER(F469),NOT(ISNUMBER(J469))),IF(D469="労務費","単価がありません（設定の作業者名と同じ書き方に）","単価がありません"),IF(AND(ISNUMBER(J469),NOT(ISNUMBER(F469))),"数量がありません","金額がありません")),IF(NOT(ISNUMBER(A469)),"日付がありません（月別集計に入りません）",IF(AND(ISNUMBER(F469),ISNUMBER(J469),ISNUMBER(I469)),"数量×単価を使いました（金額の欄は使っていません）","")))))))</f>
        <v/>
      </c>
      <c r="N469" s="91">
        <f>IF(AND(B469&lt;&gt;"",B469='案件カード'!$C$3),COUNTIF($B$5:B469,'案件カード'!$C$3),"")</f>
        <v/>
      </c>
      <c r="O469" s="91">
        <f>IF(ISNUMBER(K469),IF(B469="",K469,IF(AND(ISNUMBER(MATCH(B469,'案件'!$A$6:$A$105,0)),OR(D469="材料費",D469="労務費",D469="外注費",D469="経費")),0,K469)),0)</f>
        <v/>
      </c>
    </row>
    <row r="470" ht="16" customHeight="1">
      <c r="A470" s="35" t="n"/>
      <c r="B470" s="36" t="n"/>
      <c r="C470" s="37">
        <f>IF(B470="","",IFERROR(INDEX('案件'!$B$6:$B$105,MATCH(B470,'案件'!$A$6:$A$105,0))&amp;"","（案件シートに無い番号）"))</f>
        <v/>
      </c>
      <c r="D470" s="36" t="n"/>
      <c r="E470" s="38" t="n"/>
      <c r="F470" s="39" t="n"/>
      <c r="G470" s="36" t="n"/>
      <c r="H470" s="40" t="n"/>
      <c r="I470" s="40" t="n"/>
      <c r="J470" s="41">
        <f>IF(ISNUMBER(H470),H470,IF(AND(D470="労務費",TRIM(E470)&lt;&gt;""),IFERROR(INDEX('設定'!$G$12:$G$31,MATCH(TRIM(E470),'設定'!$J$12:$J$31,0)),""),""))</f>
        <v/>
      </c>
      <c r="K470" s="30">
        <f>IF(AND(ISNUMBER(F470),ISNUMBER(J470)),ROUND(F470*J470,0),IF(ISNUMBER(I470),I470,""))</f>
        <v/>
      </c>
      <c r="L470" s="33" t="n"/>
      <c r="M470" s="34">
        <f>IF(COUNTA(A470:B470,D470:I470,L470)=0,"",IF(B470="","案件番号がありません",IF(ISNA(MATCH(B470,'案件'!$A$6:$A$105,0)),"案件シートに無い番号です",IF(NOT(OR(D470="材料費",D470="労務費",D470="外注費",D470="経費")),"費目を4つから選んでください",IF(K470="",IF(AND(ISNUMBER(F470),NOT(ISNUMBER(J470))),IF(D470="労務費","単価がありません（設定の作業者名と同じ書き方に）","単価がありません"),IF(AND(ISNUMBER(J470),NOT(ISNUMBER(F470))),"数量がありません","金額がありません")),IF(NOT(ISNUMBER(A470)),"日付がありません（月別集計に入りません）",IF(AND(ISNUMBER(F470),ISNUMBER(J470),ISNUMBER(I470)),"数量×単価を使いました（金額の欄は使っていません）","")))))))</f>
        <v/>
      </c>
      <c r="N470" s="91">
        <f>IF(AND(B470&lt;&gt;"",B470='案件カード'!$C$3),COUNTIF($B$5:B470,'案件カード'!$C$3),"")</f>
        <v/>
      </c>
      <c r="O470" s="91">
        <f>IF(ISNUMBER(K470),IF(B470="",K470,IF(AND(ISNUMBER(MATCH(B470,'案件'!$A$6:$A$105,0)),OR(D470="材料費",D470="労務費",D470="外注費",D470="経費")),0,K470)),0)</f>
        <v/>
      </c>
    </row>
    <row r="471" ht="16" customHeight="1">
      <c r="A471" s="35" t="n"/>
      <c r="B471" s="36" t="n"/>
      <c r="C471" s="37">
        <f>IF(B471="","",IFERROR(INDEX('案件'!$B$6:$B$105,MATCH(B471,'案件'!$A$6:$A$105,0))&amp;"","（案件シートに無い番号）"))</f>
        <v/>
      </c>
      <c r="D471" s="36" t="n"/>
      <c r="E471" s="38" t="n"/>
      <c r="F471" s="39" t="n"/>
      <c r="G471" s="36" t="n"/>
      <c r="H471" s="40" t="n"/>
      <c r="I471" s="40" t="n"/>
      <c r="J471" s="41">
        <f>IF(ISNUMBER(H471),H471,IF(AND(D471="労務費",TRIM(E471)&lt;&gt;""),IFERROR(INDEX('設定'!$G$12:$G$31,MATCH(TRIM(E471),'設定'!$J$12:$J$31,0)),""),""))</f>
        <v/>
      </c>
      <c r="K471" s="30">
        <f>IF(AND(ISNUMBER(F471),ISNUMBER(J471)),ROUND(F471*J471,0),IF(ISNUMBER(I471),I471,""))</f>
        <v/>
      </c>
      <c r="L471" s="33" t="n"/>
      <c r="M471" s="34">
        <f>IF(COUNTA(A471:B471,D471:I471,L471)=0,"",IF(B471="","案件番号がありません",IF(ISNA(MATCH(B471,'案件'!$A$6:$A$105,0)),"案件シートに無い番号です",IF(NOT(OR(D471="材料費",D471="労務費",D471="外注費",D471="経費")),"費目を4つから選んでください",IF(K471="",IF(AND(ISNUMBER(F471),NOT(ISNUMBER(J471))),IF(D471="労務費","単価がありません（設定の作業者名と同じ書き方に）","単価がありません"),IF(AND(ISNUMBER(J471),NOT(ISNUMBER(F471))),"数量がありません","金額がありません")),IF(NOT(ISNUMBER(A471)),"日付がありません（月別集計に入りません）",IF(AND(ISNUMBER(F471),ISNUMBER(J471),ISNUMBER(I471)),"数量×単価を使いました（金額の欄は使っていません）","")))))))</f>
        <v/>
      </c>
      <c r="N471" s="91">
        <f>IF(AND(B471&lt;&gt;"",B471='案件カード'!$C$3),COUNTIF($B$5:B471,'案件カード'!$C$3),"")</f>
        <v/>
      </c>
      <c r="O471" s="91">
        <f>IF(ISNUMBER(K471),IF(B471="",K471,IF(AND(ISNUMBER(MATCH(B471,'案件'!$A$6:$A$105,0)),OR(D471="材料費",D471="労務費",D471="外注費",D471="経費")),0,K471)),0)</f>
        <v/>
      </c>
    </row>
    <row r="472" ht="16" customHeight="1">
      <c r="A472" s="35" t="n"/>
      <c r="B472" s="36" t="n"/>
      <c r="C472" s="37">
        <f>IF(B472="","",IFERROR(INDEX('案件'!$B$6:$B$105,MATCH(B472,'案件'!$A$6:$A$105,0))&amp;"","（案件シートに無い番号）"))</f>
        <v/>
      </c>
      <c r="D472" s="36" t="n"/>
      <c r="E472" s="38" t="n"/>
      <c r="F472" s="39" t="n"/>
      <c r="G472" s="36" t="n"/>
      <c r="H472" s="40" t="n"/>
      <c r="I472" s="40" t="n"/>
      <c r="J472" s="41">
        <f>IF(ISNUMBER(H472),H472,IF(AND(D472="労務費",TRIM(E472)&lt;&gt;""),IFERROR(INDEX('設定'!$G$12:$G$31,MATCH(TRIM(E472),'設定'!$J$12:$J$31,0)),""),""))</f>
        <v/>
      </c>
      <c r="K472" s="30">
        <f>IF(AND(ISNUMBER(F472),ISNUMBER(J472)),ROUND(F472*J472,0),IF(ISNUMBER(I472),I472,""))</f>
        <v/>
      </c>
      <c r="L472" s="33" t="n"/>
      <c r="M472" s="34">
        <f>IF(COUNTA(A472:B472,D472:I472,L472)=0,"",IF(B472="","案件番号がありません",IF(ISNA(MATCH(B472,'案件'!$A$6:$A$105,0)),"案件シートに無い番号です",IF(NOT(OR(D472="材料費",D472="労務費",D472="外注費",D472="経費")),"費目を4つから選んでください",IF(K472="",IF(AND(ISNUMBER(F472),NOT(ISNUMBER(J472))),IF(D472="労務費","単価がありません（設定の作業者名と同じ書き方に）","単価がありません"),IF(AND(ISNUMBER(J472),NOT(ISNUMBER(F472))),"数量がありません","金額がありません")),IF(NOT(ISNUMBER(A472)),"日付がありません（月別集計に入りません）",IF(AND(ISNUMBER(F472),ISNUMBER(J472),ISNUMBER(I472)),"数量×単価を使いました（金額の欄は使っていません）","")))))))</f>
        <v/>
      </c>
      <c r="N472" s="91">
        <f>IF(AND(B472&lt;&gt;"",B472='案件カード'!$C$3),COUNTIF($B$5:B472,'案件カード'!$C$3),"")</f>
        <v/>
      </c>
      <c r="O472" s="91">
        <f>IF(ISNUMBER(K472),IF(B472="",K472,IF(AND(ISNUMBER(MATCH(B472,'案件'!$A$6:$A$105,0)),OR(D472="材料費",D472="労務費",D472="外注費",D472="経費")),0,K472)),0)</f>
        <v/>
      </c>
    </row>
    <row r="473" ht="16" customHeight="1">
      <c r="A473" s="35" t="n"/>
      <c r="B473" s="36" t="n"/>
      <c r="C473" s="37">
        <f>IF(B473="","",IFERROR(INDEX('案件'!$B$6:$B$105,MATCH(B473,'案件'!$A$6:$A$105,0))&amp;"","（案件シートに無い番号）"))</f>
        <v/>
      </c>
      <c r="D473" s="36" t="n"/>
      <c r="E473" s="38" t="n"/>
      <c r="F473" s="39" t="n"/>
      <c r="G473" s="36" t="n"/>
      <c r="H473" s="40" t="n"/>
      <c r="I473" s="40" t="n"/>
      <c r="J473" s="41">
        <f>IF(ISNUMBER(H473),H473,IF(AND(D473="労務費",TRIM(E473)&lt;&gt;""),IFERROR(INDEX('設定'!$G$12:$G$31,MATCH(TRIM(E473),'設定'!$J$12:$J$31,0)),""),""))</f>
        <v/>
      </c>
      <c r="K473" s="30">
        <f>IF(AND(ISNUMBER(F473),ISNUMBER(J473)),ROUND(F473*J473,0),IF(ISNUMBER(I473),I473,""))</f>
        <v/>
      </c>
      <c r="L473" s="33" t="n"/>
      <c r="M473" s="34">
        <f>IF(COUNTA(A473:B473,D473:I473,L473)=0,"",IF(B473="","案件番号がありません",IF(ISNA(MATCH(B473,'案件'!$A$6:$A$105,0)),"案件シートに無い番号です",IF(NOT(OR(D473="材料費",D473="労務費",D473="外注費",D473="経費")),"費目を4つから選んでください",IF(K473="",IF(AND(ISNUMBER(F473),NOT(ISNUMBER(J473))),IF(D473="労務費","単価がありません（設定の作業者名と同じ書き方に）","単価がありません"),IF(AND(ISNUMBER(J473),NOT(ISNUMBER(F473))),"数量がありません","金額がありません")),IF(NOT(ISNUMBER(A473)),"日付がありません（月別集計に入りません）",IF(AND(ISNUMBER(F473),ISNUMBER(J473),ISNUMBER(I473)),"数量×単価を使いました（金額の欄は使っていません）","")))))))</f>
        <v/>
      </c>
      <c r="N473" s="91">
        <f>IF(AND(B473&lt;&gt;"",B473='案件カード'!$C$3),COUNTIF($B$5:B473,'案件カード'!$C$3),"")</f>
        <v/>
      </c>
      <c r="O473" s="91">
        <f>IF(ISNUMBER(K473),IF(B473="",K473,IF(AND(ISNUMBER(MATCH(B473,'案件'!$A$6:$A$105,0)),OR(D473="材料費",D473="労務費",D473="外注費",D473="経費")),0,K473)),0)</f>
        <v/>
      </c>
    </row>
    <row r="474" ht="16" customHeight="1">
      <c r="A474" s="35" t="n"/>
      <c r="B474" s="36" t="n"/>
      <c r="C474" s="37">
        <f>IF(B474="","",IFERROR(INDEX('案件'!$B$6:$B$105,MATCH(B474,'案件'!$A$6:$A$105,0))&amp;"","（案件シートに無い番号）"))</f>
        <v/>
      </c>
      <c r="D474" s="36" t="n"/>
      <c r="E474" s="38" t="n"/>
      <c r="F474" s="39" t="n"/>
      <c r="G474" s="36" t="n"/>
      <c r="H474" s="40" t="n"/>
      <c r="I474" s="40" t="n"/>
      <c r="J474" s="41">
        <f>IF(ISNUMBER(H474),H474,IF(AND(D474="労務費",TRIM(E474)&lt;&gt;""),IFERROR(INDEX('設定'!$G$12:$G$31,MATCH(TRIM(E474),'設定'!$J$12:$J$31,0)),""),""))</f>
        <v/>
      </c>
      <c r="K474" s="30">
        <f>IF(AND(ISNUMBER(F474),ISNUMBER(J474)),ROUND(F474*J474,0),IF(ISNUMBER(I474),I474,""))</f>
        <v/>
      </c>
      <c r="L474" s="33" t="n"/>
      <c r="M474" s="34">
        <f>IF(COUNTA(A474:B474,D474:I474,L474)=0,"",IF(B474="","案件番号がありません",IF(ISNA(MATCH(B474,'案件'!$A$6:$A$105,0)),"案件シートに無い番号です",IF(NOT(OR(D474="材料費",D474="労務費",D474="外注費",D474="経費")),"費目を4つから選んでください",IF(K474="",IF(AND(ISNUMBER(F474),NOT(ISNUMBER(J474))),IF(D474="労務費","単価がありません（設定の作業者名と同じ書き方に）","単価がありません"),IF(AND(ISNUMBER(J474),NOT(ISNUMBER(F474))),"数量がありません","金額がありません")),IF(NOT(ISNUMBER(A474)),"日付がありません（月別集計に入りません）",IF(AND(ISNUMBER(F474),ISNUMBER(J474),ISNUMBER(I474)),"数量×単価を使いました（金額の欄は使っていません）","")))))))</f>
        <v/>
      </c>
      <c r="N474" s="91">
        <f>IF(AND(B474&lt;&gt;"",B474='案件カード'!$C$3),COUNTIF($B$5:B474,'案件カード'!$C$3),"")</f>
        <v/>
      </c>
      <c r="O474" s="91">
        <f>IF(ISNUMBER(K474),IF(B474="",K474,IF(AND(ISNUMBER(MATCH(B474,'案件'!$A$6:$A$105,0)),OR(D474="材料費",D474="労務費",D474="外注費",D474="経費")),0,K474)),0)</f>
        <v/>
      </c>
    </row>
    <row r="475" ht="16" customHeight="1">
      <c r="A475" s="35" t="n"/>
      <c r="B475" s="36" t="n"/>
      <c r="C475" s="37">
        <f>IF(B475="","",IFERROR(INDEX('案件'!$B$6:$B$105,MATCH(B475,'案件'!$A$6:$A$105,0))&amp;"","（案件シートに無い番号）"))</f>
        <v/>
      </c>
      <c r="D475" s="36" t="n"/>
      <c r="E475" s="38" t="n"/>
      <c r="F475" s="39" t="n"/>
      <c r="G475" s="36" t="n"/>
      <c r="H475" s="40" t="n"/>
      <c r="I475" s="40" t="n"/>
      <c r="J475" s="41">
        <f>IF(ISNUMBER(H475),H475,IF(AND(D475="労務費",TRIM(E475)&lt;&gt;""),IFERROR(INDEX('設定'!$G$12:$G$31,MATCH(TRIM(E475),'設定'!$J$12:$J$31,0)),""),""))</f>
        <v/>
      </c>
      <c r="K475" s="30">
        <f>IF(AND(ISNUMBER(F475),ISNUMBER(J475)),ROUND(F475*J475,0),IF(ISNUMBER(I475),I475,""))</f>
        <v/>
      </c>
      <c r="L475" s="33" t="n"/>
      <c r="M475" s="34">
        <f>IF(COUNTA(A475:B475,D475:I475,L475)=0,"",IF(B475="","案件番号がありません",IF(ISNA(MATCH(B475,'案件'!$A$6:$A$105,0)),"案件シートに無い番号です",IF(NOT(OR(D475="材料費",D475="労務費",D475="外注費",D475="経費")),"費目を4つから選んでください",IF(K475="",IF(AND(ISNUMBER(F475),NOT(ISNUMBER(J475))),IF(D475="労務費","単価がありません（設定の作業者名と同じ書き方に）","単価がありません"),IF(AND(ISNUMBER(J475),NOT(ISNUMBER(F475))),"数量がありません","金額がありません")),IF(NOT(ISNUMBER(A475)),"日付がありません（月別集計に入りません）",IF(AND(ISNUMBER(F475),ISNUMBER(J475),ISNUMBER(I475)),"数量×単価を使いました（金額の欄は使っていません）","")))))))</f>
        <v/>
      </c>
      <c r="N475" s="91">
        <f>IF(AND(B475&lt;&gt;"",B475='案件カード'!$C$3),COUNTIF($B$5:B475,'案件カード'!$C$3),"")</f>
        <v/>
      </c>
      <c r="O475" s="91">
        <f>IF(ISNUMBER(K475),IF(B475="",K475,IF(AND(ISNUMBER(MATCH(B475,'案件'!$A$6:$A$105,0)),OR(D475="材料費",D475="労務費",D475="外注費",D475="経費")),0,K475)),0)</f>
        <v/>
      </c>
    </row>
    <row r="476" ht="16" customHeight="1">
      <c r="A476" s="35" t="n"/>
      <c r="B476" s="36" t="n"/>
      <c r="C476" s="37">
        <f>IF(B476="","",IFERROR(INDEX('案件'!$B$6:$B$105,MATCH(B476,'案件'!$A$6:$A$105,0))&amp;"","（案件シートに無い番号）"))</f>
        <v/>
      </c>
      <c r="D476" s="36" t="n"/>
      <c r="E476" s="38" t="n"/>
      <c r="F476" s="39" t="n"/>
      <c r="G476" s="36" t="n"/>
      <c r="H476" s="40" t="n"/>
      <c r="I476" s="40" t="n"/>
      <c r="J476" s="41">
        <f>IF(ISNUMBER(H476),H476,IF(AND(D476="労務費",TRIM(E476)&lt;&gt;""),IFERROR(INDEX('設定'!$G$12:$G$31,MATCH(TRIM(E476),'設定'!$J$12:$J$31,0)),""),""))</f>
        <v/>
      </c>
      <c r="K476" s="30">
        <f>IF(AND(ISNUMBER(F476),ISNUMBER(J476)),ROUND(F476*J476,0),IF(ISNUMBER(I476),I476,""))</f>
        <v/>
      </c>
      <c r="L476" s="33" t="n"/>
      <c r="M476" s="34">
        <f>IF(COUNTA(A476:B476,D476:I476,L476)=0,"",IF(B476="","案件番号がありません",IF(ISNA(MATCH(B476,'案件'!$A$6:$A$105,0)),"案件シートに無い番号です",IF(NOT(OR(D476="材料費",D476="労務費",D476="外注費",D476="経費")),"費目を4つから選んでください",IF(K476="",IF(AND(ISNUMBER(F476),NOT(ISNUMBER(J476))),IF(D476="労務費","単価がありません（設定の作業者名と同じ書き方に）","単価がありません"),IF(AND(ISNUMBER(J476),NOT(ISNUMBER(F476))),"数量がありません","金額がありません")),IF(NOT(ISNUMBER(A476)),"日付がありません（月別集計に入りません）",IF(AND(ISNUMBER(F476),ISNUMBER(J476),ISNUMBER(I476)),"数量×単価を使いました（金額の欄は使っていません）","")))))))</f>
        <v/>
      </c>
      <c r="N476" s="91">
        <f>IF(AND(B476&lt;&gt;"",B476='案件カード'!$C$3),COUNTIF($B$5:B476,'案件カード'!$C$3),"")</f>
        <v/>
      </c>
      <c r="O476" s="91">
        <f>IF(ISNUMBER(K476),IF(B476="",K476,IF(AND(ISNUMBER(MATCH(B476,'案件'!$A$6:$A$105,0)),OR(D476="材料費",D476="労務費",D476="外注費",D476="経費")),0,K476)),0)</f>
        <v/>
      </c>
    </row>
    <row r="477" ht="16" customHeight="1">
      <c r="A477" s="35" t="n"/>
      <c r="B477" s="36" t="n"/>
      <c r="C477" s="37">
        <f>IF(B477="","",IFERROR(INDEX('案件'!$B$6:$B$105,MATCH(B477,'案件'!$A$6:$A$105,0))&amp;"","（案件シートに無い番号）"))</f>
        <v/>
      </c>
      <c r="D477" s="36" t="n"/>
      <c r="E477" s="38" t="n"/>
      <c r="F477" s="39" t="n"/>
      <c r="G477" s="36" t="n"/>
      <c r="H477" s="40" t="n"/>
      <c r="I477" s="40" t="n"/>
      <c r="J477" s="41">
        <f>IF(ISNUMBER(H477),H477,IF(AND(D477="労務費",TRIM(E477)&lt;&gt;""),IFERROR(INDEX('設定'!$G$12:$G$31,MATCH(TRIM(E477),'設定'!$J$12:$J$31,0)),""),""))</f>
        <v/>
      </c>
      <c r="K477" s="30">
        <f>IF(AND(ISNUMBER(F477),ISNUMBER(J477)),ROUND(F477*J477,0),IF(ISNUMBER(I477),I477,""))</f>
        <v/>
      </c>
      <c r="L477" s="33" t="n"/>
      <c r="M477" s="34">
        <f>IF(COUNTA(A477:B477,D477:I477,L477)=0,"",IF(B477="","案件番号がありません",IF(ISNA(MATCH(B477,'案件'!$A$6:$A$105,0)),"案件シートに無い番号です",IF(NOT(OR(D477="材料費",D477="労務費",D477="外注費",D477="経費")),"費目を4つから選んでください",IF(K477="",IF(AND(ISNUMBER(F477),NOT(ISNUMBER(J477))),IF(D477="労務費","単価がありません（設定の作業者名と同じ書き方に）","単価がありません"),IF(AND(ISNUMBER(J477),NOT(ISNUMBER(F477))),"数量がありません","金額がありません")),IF(NOT(ISNUMBER(A477)),"日付がありません（月別集計に入りません）",IF(AND(ISNUMBER(F477),ISNUMBER(J477),ISNUMBER(I477)),"数量×単価を使いました（金額の欄は使っていません）","")))))))</f>
        <v/>
      </c>
      <c r="N477" s="91">
        <f>IF(AND(B477&lt;&gt;"",B477='案件カード'!$C$3),COUNTIF($B$5:B477,'案件カード'!$C$3),"")</f>
        <v/>
      </c>
      <c r="O477" s="91">
        <f>IF(ISNUMBER(K477),IF(B477="",K477,IF(AND(ISNUMBER(MATCH(B477,'案件'!$A$6:$A$105,0)),OR(D477="材料費",D477="労務費",D477="外注費",D477="経費")),0,K477)),0)</f>
        <v/>
      </c>
    </row>
    <row r="478" ht="16" customHeight="1">
      <c r="A478" s="35" t="n"/>
      <c r="B478" s="36" t="n"/>
      <c r="C478" s="37">
        <f>IF(B478="","",IFERROR(INDEX('案件'!$B$6:$B$105,MATCH(B478,'案件'!$A$6:$A$105,0))&amp;"","（案件シートに無い番号）"))</f>
        <v/>
      </c>
      <c r="D478" s="36" t="n"/>
      <c r="E478" s="38" t="n"/>
      <c r="F478" s="39" t="n"/>
      <c r="G478" s="36" t="n"/>
      <c r="H478" s="40" t="n"/>
      <c r="I478" s="40" t="n"/>
      <c r="J478" s="41">
        <f>IF(ISNUMBER(H478),H478,IF(AND(D478="労務費",TRIM(E478)&lt;&gt;""),IFERROR(INDEX('設定'!$G$12:$G$31,MATCH(TRIM(E478),'設定'!$J$12:$J$31,0)),""),""))</f>
        <v/>
      </c>
      <c r="K478" s="30">
        <f>IF(AND(ISNUMBER(F478),ISNUMBER(J478)),ROUND(F478*J478,0),IF(ISNUMBER(I478),I478,""))</f>
        <v/>
      </c>
      <c r="L478" s="33" t="n"/>
      <c r="M478" s="34">
        <f>IF(COUNTA(A478:B478,D478:I478,L478)=0,"",IF(B478="","案件番号がありません",IF(ISNA(MATCH(B478,'案件'!$A$6:$A$105,0)),"案件シートに無い番号です",IF(NOT(OR(D478="材料費",D478="労務費",D478="外注費",D478="経費")),"費目を4つから選んでください",IF(K478="",IF(AND(ISNUMBER(F478),NOT(ISNUMBER(J478))),IF(D478="労務費","単価がありません（設定の作業者名と同じ書き方に）","単価がありません"),IF(AND(ISNUMBER(J478),NOT(ISNUMBER(F478))),"数量がありません","金額がありません")),IF(NOT(ISNUMBER(A478)),"日付がありません（月別集計に入りません）",IF(AND(ISNUMBER(F478),ISNUMBER(J478),ISNUMBER(I478)),"数量×単価を使いました（金額の欄は使っていません）","")))))))</f>
        <v/>
      </c>
      <c r="N478" s="91">
        <f>IF(AND(B478&lt;&gt;"",B478='案件カード'!$C$3),COUNTIF($B$5:B478,'案件カード'!$C$3),"")</f>
        <v/>
      </c>
      <c r="O478" s="91">
        <f>IF(ISNUMBER(K478),IF(B478="",K478,IF(AND(ISNUMBER(MATCH(B478,'案件'!$A$6:$A$105,0)),OR(D478="材料費",D478="労務費",D478="外注費",D478="経費")),0,K478)),0)</f>
        <v/>
      </c>
    </row>
    <row r="479" ht="16" customHeight="1">
      <c r="A479" s="35" t="n"/>
      <c r="B479" s="36" t="n"/>
      <c r="C479" s="37">
        <f>IF(B479="","",IFERROR(INDEX('案件'!$B$6:$B$105,MATCH(B479,'案件'!$A$6:$A$105,0))&amp;"","（案件シートに無い番号）"))</f>
        <v/>
      </c>
      <c r="D479" s="36" t="n"/>
      <c r="E479" s="38" t="n"/>
      <c r="F479" s="39" t="n"/>
      <c r="G479" s="36" t="n"/>
      <c r="H479" s="40" t="n"/>
      <c r="I479" s="40" t="n"/>
      <c r="J479" s="41">
        <f>IF(ISNUMBER(H479),H479,IF(AND(D479="労務費",TRIM(E479)&lt;&gt;""),IFERROR(INDEX('設定'!$G$12:$G$31,MATCH(TRIM(E479),'設定'!$J$12:$J$31,0)),""),""))</f>
        <v/>
      </c>
      <c r="K479" s="30">
        <f>IF(AND(ISNUMBER(F479),ISNUMBER(J479)),ROUND(F479*J479,0),IF(ISNUMBER(I479),I479,""))</f>
        <v/>
      </c>
      <c r="L479" s="33" t="n"/>
      <c r="M479" s="34">
        <f>IF(COUNTA(A479:B479,D479:I479,L479)=0,"",IF(B479="","案件番号がありません",IF(ISNA(MATCH(B479,'案件'!$A$6:$A$105,0)),"案件シートに無い番号です",IF(NOT(OR(D479="材料費",D479="労務費",D479="外注費",D479="経費")),"費目を4つから選んでください",IF(K479="",IF(AND(ISNUMBER(F479),NOT(ISNUMBER(J479))),IF(D479="労務費","単価がありません（設定の作業者名と同じ書き方に）","単価がありません"),IF(AND(ISNUMBER(J479),NOT(ISNUMBER(F479))),"数量がありません","金額がありません")),IF(NOT(ISNUMBER(A479)),"日付がありません（月別集計に入りません）",IF(AND(ISNUMBER(F479),ISNUMBER(J479),ISNUMBER(I479)),"数量×単価を使いました（金額の欄は使っていません）","")))))))</f>
        <v/>
      </c>
      <c r="N479" s="91">
        <f>IF(AND(B479&lt;&gt;"",B479='案件カード'!$C$3),COUNTIF($B$5:B479,'案件カード'!$C$3),"")</f>
        <v/>
      </c>
      <c r="O479" s="91">
        <f>IF(ISNUMBER(K479),IF(B479="",K479,IF(AND(ISNUMBER(MATCH(B479,'案件'!$A$6:$A$105,0)),OR(D479="材料費",D479="労務費",D479="外注費",D479="経費")),0,K479)),0)</f>
        <v/>
      </c>
    </row>
    <row r="480" ht="16" customHeight="1">
      <c r="A480" s="35" t="n"/>
      <c r="B480" s="36" t="n"/>
      <c r="C480" s="37">
        <f>IF(B480="","",IFERROR(INDEX('案件'!$B$6:$B$105,MATCH(B480,'案件'!$A$6:$A$105,0))&amp;"","（案件シートに無い番号）"))</f>
        <v/>
      </c>
      <c r="D480" s="36" t="n"/>
      <c r="E480" s="38" t="n"/>
      <c r="F480" s="39" t="n"/>
      <c r="G480" s="36" t="n"/>
      <c r="H480" s="40" t="n"/>
      <c r="I480" s="40" t="n"/>
      <c r="J480" s="41">
        <f>IF(ISNUMBER(H480),H480,IF(AND(D480="労務費",TRIM(E480)&lt;&gt;""),IFERROR(INDEX('設定'!$G$12:$G$31,MATCH(TRIM(E480),'設定'!$J$12:$J$31,0)),""),""))</f>
        <v/>
      </c>
      <c r="K480" s="30">
        <f>IF(AND(ISNUMBER(F480),ISNUMBER(J480)),ROUND(F480*J480,0),IF(ISNUMBER(I480),I480,""))</f>
        <v/>
      </c>
      <c r="L480" s="33" t="n"/>
      <c r="M480" s="34">
        <f>IF(COUNTA(A480:B480,D480:I480,L480)=0,"",IF(B480="","案件番号がありません",IF(ISNA(MATCH(B480,'案件'!$A$6:$A$105,0)),"案件シートに無い番号です",IF(NOT(OR(D480="材料費",D480="労務費",D480="外注費",D480="経費")),"費目を4つから選んでください",IF(K480="",IF(AND(ISNUMBER(F480),NOT(ISNUMBER(J480))),IF(D480="労務費","単価がありません（設定の作業者名と同じ書き方に）","単価がありません"),IF(AND(ISNUMBER(J480),NOT(ISNUMBER(F480))),"数量がありません","金額がありません")),IF(NOT(ISNUMBER(A480)),"日付がありません（月別集計に入りません）",IF(AND(ISNUMBER(F480),ISNUMBER(J480),ISNUMBER(I480)),"数量×単価を使いました（金額の欄は使っていません）","")))))))</f>
        <v/>
      </c>
      <c r="N480" s="91">
        <f>IF(AND(B480&lt;&gt;"",B480='案件カード'!$C$3),COUNTIF($B$5:B480,'案件カード'!$C$3),"")</f>
        <v/>
      </c>
      <c r="O480" s="91">
        <f>IF(ISNUMBER(K480),IF(B480="",K480,IF(AND(ISNUMBER(MATCH(B480,'案件'!$A$6:$A$105,0)),OR(D480="材料費",D480="労務費",D480="外注費",D480="経費")),0,K480)),0)</f>
        <v/>
      </c>
    </row>
    <row r="481" ht="16" customHeight="1">
      <c r="A481" s="35" t="n"/>
      <c r="B481" s="36" t="n"/>
      <c r="C481" s="37">
        <f>IF(B481="","",IFERROR(INDEX('案件'!$B$6:$B$105,MATCH(B481,'案件'!$A$6:$A$105,0))&amp;"","（案件シートに無い番号）"))</f>
        <v/>
      </c>
      <c r="D481" s="36" t="n"/>
      <c r="E481" s="38" t="n"/>
      <c r="F481" s="39" t="n"/>
      <c r="G481" s="36" t="n"/>
      <c r="H481" s="40" t="n"/>
      <c r="I481" s="40" t="n"/>
      <c r="J481" s="41">
        <f>IF(ISNUMBER(H481),H481,IF(AND(D481="労務費",TRIM(E481)&lt;&gt;""),IFERROR(INDEX('設定'!$G$12:$G$31,MATCH(TRIM(E481),'設定'!$J$12:$J$31,0)),""),""))</f>
        <v/>
      </c>
      <c r="K481" s="30">
        <f>IF(AND(ISNUMBER(F481),ISNUMBER(J481)),ROUND(F481*J481,0),IF(ISNUMBER(I481),I481,""))</f>
        <v/>
      </c>
      <c r="L481" s="33" t="n"/>
      <c r="M481" s="34">
        <f>IF(COUNTA(A481:B481,D481:I481,L481)=0,"",IF(B481="","案件番号がありません",IF(ISNA(MATCH(B481,'案件'!$A$6:$A$105,0)),"案件シートに無い番号です",IF(NOT(OR(D481="材料費",D481="労務費",D481="外注費",D481="経費")),"費目を4つから選んでください",IF(K481="",IF(AND(ISNUMBER(F481),NOT(ISNUMBER(J481))),IF(D481="労務費","単価がありません（設定の作業者名と同じ書き方に）","単価がありません"),IF(AND(ISNUMBER(J481),NOT(ISNUMBER(F481))),"数量がありません","金額がありません")),IF(NOT(ISNUMBER(A481)),"日付がありません（月別集計に入りません）",IF(AND(ISNUMBER(F481),ISNUMBER(J481),ISNUMBER(I481)),"数量×単価を使いました（金額の欄は使っていません）","")))))))</f>
        <v/>
      </c>
      <c r="N481" s="91">
        <f>IF(AND(B481&lt;&gt;"",B481='案件カード'!$C$3),COUNTIF($B$5:B481,'案件カード'!$C$3),"")</f>
        <v/>
      </c>
      <c r="O481" s="91">
        <f>IF(ISNUMBER(K481),IF(B481="",K481,IF(AND(ISNUMBER(MATCH(B481,'案件'!$A$6:$A$105,0)),OR(D481="材料費",D481="労務費",D481="外注費",D481="経費")),0,K481)),0)</f>
        <v/>
      </c>
    </row>
    <row r="482" ht="16" customHeight="1">
      <c r="A482" s="35" t="n"/>
      <c r="B482" s="36" t="n"/>
      <c r="C482" s="37">
        <f>IF(B482="","",IFERROR(INDEX('案件'!$B$6:$B$105,MATCH(B482,'案件'!$A$6:$A$105,0))&amp;"","（案件シートに無い番号）"))</f>
        <v/>
      </c>
      <c r="D482" s="36" t="n"/>
      <c r="E482" s="38" t="n"/>
      <c r="F482" s="39" t="n"/>
      <c r="G482" s="36" t="n"/>
      <c r="H482" s="40" t="n"/>
      <c r="I482" s="40" t="n"/>
      <c r="J482" s="41">
        <f>IF(ISNUMBER(H482),H482,IF(AND(D482="労務費",TRIM(E482)&lt;&gt;""),IFERROR(INDEX('設定'!$G$12:$G$31,MATCH(TRIM(E482),'設定'!$J$12:$J$31,0)),""),""))</f>
        <v/>
      </c>
      <c r="K482" s="30">
        <f>IF(AND(ISNUMBER(F482),ISNUMBER(J482)),ROUND(F482*J482,0),IF(ISNUMBER(I482),I482,""))</f>
        <v/>
      </c>
      <c r="L482" s="33" t="n"/>
      <c r="M482" s="34">
        <f>IF(COUNTA(A482:B482,D482:I482,L482)=0,"",IF(B482="","案件番号がありません",IF(ISNA(MATCH(B482,'案件'!$A$6:$A$105,0)),"案件シートに無い番号です",IF(NOT(OR(D482="材料費",D482="労務費",D482="外注費",D482="経費")),"費目を4つから選んでください",IF(K482="",IF(AND(ISNUMBER(F482),NOT(ISNUMBER(J482))),IF(D482="労務費","単価がありません（設定の作業者名と同じ書き方に）","単価がありません"),IF(AND(ISNUMBER(J482),NOT(ISNUMBER(F482))),"数量がありません","金額がありません")),IF(NOT(ISNUMBER(A482)),"日付がありません（月別集計に入りません）",IF(AND(ISNUMBER(F482),ISNUMBER(J482),ISNUMBER(I482)),"数量×単価を使いました（金額の欄は使っていません）","")))))))</f>
        <v/>
      </c>
      <c r="N482" s="91">
        <f>IF(AND(B482&lt;&gt;"",B482='案件カード'!$C$3),COUNTIF($B$5:B482,'案件カード'!$C$3),"")</f>
        <v/>
      </c>
      <c r="O482" s="91">
        <f>IF(ISNUMBER(K482),IF(B482="",K482,IF(AND(ISNUMBER(MATCH(B482,'案件'!$A$6:$A$105,0)),OR(D482="材料費",D482="労務費",D482="外注費",D482="経費")),0,K482)),0)</f>
        <v/>
      </c>
    </row>
    <row r="483" ht="16" customHeight="1">
      <c r="A483" s="35" t="n"/>
      <c r="B483" s="36" t="n"/>
      <c r="C483" s="37">
        <f>IF(B483="","",IFERROR(INDEX('案件'!$B$6:$B$105,MATCH(B483,'案件'!$A$6:$A$105,0))&amp;"","（案件シートに無い番号）"))</f>
        <v/>
      </c>
      <c r="D483" s="36" t="n"/>
      <c r="E483" s="38" t="n"/>
      <c r="F483" s="39" t="n"/>
      <c r="G483" s="36" t="n"/>
      <c r="H483" s="40" t="n"/>
      <c r="I483" s="40" t="n"/>
      <c r="J483" s="41">
        <f>IF(ISNUMBER(H483),H483,IF(AND(D483="労務費",TRIM(E483)&lt;&gt;""),IFERROR(INDEX('設定'!$G$12:$G$31,MATCH(TRIM(E483),'設定'!$J$12:$J$31,0)),""),""))</f>
        <v/>
      </c>
      <c r="K483" s="30">
        <f>IF(AND(ISNUMBER(F483),ISNUMBER(J483)),ROUND(F483*J483,0),IF(ISNUMBER(I483),I483,""))</f>
        <v/>
      </c>
      <c r="L483" s="33" t="n"/>
      <c r="M483" s="34">
        <f>IF(COUNTA(A483:B483,D483:I483,L483)=0,"",IF(B483="","案件番号がありません",IF(ISNA(MATCH(B483,'案件'!$A$6:$A$105,0)),"案件シートに無い番号です",IF(NOT(OR(D483="材料費",D483="労務費",D483="外注費",D483="経費")),"費目を4つから選んでください",IF(K483="",IF(AND(ISNUMBER(F483),NOT(ISNUMBER(J483))),IF(D483="労務費","単価がありません（設定の作業者名と同じ書き方に）","単価がありません"),IF(AND(ISNUMBER(J483),NOT(ISNUMBER(F483))),"数量がありません","金額がありません")),IF(NOT(ISNUMBER(A483)),"日付がありません（月別集計に入りません）",IF(AND(ISNUMBER(F483),ISNUMBER(J483),ISNUMBER(I483)),"数量×単価を使いました（金額の欄は使っていません）","")))))))</f>
        <v/>
      </c>
      <c r="N483" s="91">
        <f>IF(AND(B483&lt;&gt;"",B483='案件カード'!$C$3),COUNTIF($B$5:B483,'案件カード'!$C$3),"")</f>
        <v/>
      </c>
      <c r="O483" s="91">
        <f>IF(ISNUMBER(K483),IF(B483="",K483,IF(AND(ISNUMBER(MATCH(B483,'案件'!$A$6:$A$105,0)),OR(D483="材料費",D483="労務費",D483="外注費",D483="経費")),0,K483)),0)</f>
        <v/>
      </c>
    </row>
    <row r="484" ht="16" customHeight="1">
      <c r="A484" s="35" t="n"/>
      <c r="B484" s="36" t="n"/>
      <c r="C484" s="37">
        <f>IF(B484="","",IFERROR(INDEX('案件'!$B$6:$B$105,MATCH(B484,'案件'!$A$6:$A$105,0))&amp;"","（案件シートに無い番号）"))</f>
        <v/>
      </c>
      <c r="D484" s="36" t="n"/>
      <c r="E484" s="38" t="n"/>
      <c r="F484" s="39" t="n"/>
      <c r="G484" s="36" t="n"/>
      <c r="H484" s="40" t="n"/>
      <c r="I484" s="40" t="n"/>
      <c r="J484" s="41">
        <f>IF(ISNUMBER(H484),H484,IF(AND(D484="労務費",TRIM(E484)&lt;&gt;""),IFERROR(INDEX('設定'!$G$12:$G$31,MATCH(TRIM(E484),'設定'!$J$12:$J$31,0)),""),""))</f>
        <v/>
      </c>
      <c r="K484" s="30">
        <f>IF(AND(ISNUMBER(F484),ISNUMBER(J484)),ROUND(F484*J484,0),IF(ISNUMBER(I484),I484,""))</f>
        <v/>
      </c>
      <c r="L484" s="33" t="n"/>
      <c r="M484" s="34">
        <f>IF(COUNTA(A484:B484,D484:I484,L484)=0,"",IF(B484="","案件番号がありません",IF(ISNA(MATCH(B484,'案件'!$A$6:$A$105,0)),"案件シートに無い番号です",IF(NOT(OR(D484="材料費",D484="労務費",D484="外注費",D484="経費")),"費目を4つから選んでください",IF(K484="",IF(AND(ISNUMBER(F484),NOT(ISNUMBER(J484))),IF(D484="労務費","単価がありません（設定の作業者名と同じ書き方に）","単価がありません"),IF(AND(ISNUMBER(J484),NOT(ISNUMBER(F484))),"数量がありません","金額がありません")),IF(NOT(ISNUMBER(A484)),"日付がありません（月別集計に入りません）",IF(AND(ISNUMBER(F484),ISNUMBER(J484),ISNUMBER(I484)),"数量×単価を使いました（金額の欄は使っていません）","")))))))</f>
        <v/>
      </c>
      <c r="N484" s="91">
        <f>IF(AND(B484&lt;&gt;"",B484='案件カード'!$C$3),COUNTIF($B$5:B484,'案件カード'!$C$3),"")</f>
        <v/>
      </c>
      <c r="O484" s="91">
        <f>IF(ISNUMBER(K484),IF(B484="",K484,IF(AND(ISNUMBER(MATCH(B484,'案件'!$A$6:$A$105,0)),OR(D484="材料費",D484="労務費",D484="外注費",D484="経費")),0,K484)),0)</f>
        <v/>
      </c>
    </row>
    <row r="485" ht="16" customHeight="1">
      <c r="A485" s="35" t="n"/>
      <c r="B485" s="36" t="n"/>
      <c r="C485" s="37">
        <f>IF(B485="","",IFERROR(INDEX('案件'!$B$6:$B$105,MATCH(B485,'案件'!$A$6:$A$105,0))&amp;"","（案件シートに無い番号）"))</f>
        <v/>
      </c>
      <c r="D485" s="36" t="n"/>
      <c r="E485" s="38" t="n"/>
      <c r="F485" s="39" t="n"/>
      <c r="G485" s="36" t="n"/>
      <c r="H485" s="40" t="n"/>
      <c r="I485" s="40" t="n"/>
      <c r="J485" s="41">
        <f>IF(ISNUMBER(H485),H485,IF(AND(D485="労務費",TRIM(E485)&lt;&gt;""),IFERROR(INDEX('設定'!$G$12:$G$31,MATCH(TRIM(E485),'設定'!$J$12:$J$31,0)),""),""))</f>
        <v/>
      </c>
      <c r="K485" s="30">
        <f>IF(AND(ISNUMBER(F485),ISNUMBER(J485)),ROUND(F485*J485,0),IF(ISNUMBER(I485),I485,""))</f>
        <v/>
      </c>
      <c r="L485" s="33" t="n"/>
      <c r="M485" s="34">
        <f>IF(COUNTA(A485:B485,D485:I485,L485)=0,"",IF(B485="","案件番号がありません",IF(ISNA(MATCH(B485,'案件'!$A$6:$A$105,0)),"案件シートに無い番号です",IF(NOT(OR(D485="材料費",D485="労務費",D485="外注費",D485="経費")),"費目を4つから選んでください",IF(K485="",IF(AND(ISNUMBER(F485),NOT(ISNUMBER(J485))),IF(D485="労務費","単価がありません（設定の作業者名と同じ書き方に）","単価がありません"),IF(AND(ISNUMBER(J485),NOT(ISNUMBER(F485))),"数量がありません","金額がありません")),IF(NOT(ISNUMBER(A485)),"日付がありません（月別集計に入りません）",IF(AND(ISNUMBER(F485),ISNUMBER(J485),ISNUMBER(I485)),"数量×単価を使いました（金額の欄は使っていません）","")))))))</f>
        <v/>
      </c>
      <c r="N485" s="91">
        <f>IF(AND(B485&lt;&gt;"",B485='案件カード'!$C$3),COUNTIF($B$5:B485,'案件カード'!$C$3),"")</f>
        <v/>
      </c>
      <c r="O485" s="91">
        <f>IF(ISNUMBER(K485),IF(B485="",K485,IF(AND(ISNUMBER(MATCH(B485,'案件'!$A$6:$A$105,0)),OR(D485="材料費",D485="労務費",D485="外注費",D485="経費")),0,K485)),0)</f>
        <v/>
      </c>
    </row>
    <row r="486" ht="16" customHeight="1">
      <c r="A486" s="35" t="n"/>
      <c r="B486" s="36" t="n"/>
      <c r="C486" s="37">
        <f>IF(B486="","",IFERROR(INDEX('案件'!$B$6:$B$105,MATCH(B486,'案件'!$A$6:$A$105,0))&amp;"","（案件シートに無い番号）"))</f>
        <v/>
      </c>
      <c r="D486" s="36" t="n"/>
      <c r="E486" s="38" t="n"/>
      <c r="F486" s="39" t="n"/>
      <c r="G486" s="36" t="n"/>
      <c r="H486" s="40" t="n"/>
      <c r="I486" s="40" t="n"/>
      <c r="J486" s="41">
        <f>IF(ISNUMBER(H486),H486,IF(AND(D486="労務費",TRIM(E486)&lt;&gt;""),IFERROR(INDEX('設定'!$G$12:$G$31,MATCH(TRIM(E486),'設定'!$J$12:$J$31,0)),""),""))</f>
        <v/>
      </c>
      <c r="K486" s="30">
        <f>IF(AND(ISNUMBER(F486),ISNUMBER(J486)),ROUND(F486*J486,0),IF(ISNUMBER(I486),I486,""))</f>
        <v/>
      </c>
      <c r="L486" s="33" t="n"/>
      <c r="M486" s="34">
        <f>IF(COUNTA(A486:B486,D486:I486,L486)=0,"",IF(B486="","案件番号がありません",IF(ISNA(MATCH(B486,'案件'!$A$6:$A$105,0)),"案件シートに無い番号です",IF(NOT(OR(D486="材料費",D486="労務費",D486="外注費",D486="経費")),"費目を4つから選んでください",IF(K486="",IF(AND(ISNUMBER(F486),NOT(ISNUMBER(J486))),IF(D486="労務費","単価がありません（設定の作業者名と同じ書き方に）","単価がありません"),IF(AND(ISNUMBER(J486),NOT(ISNUMBER(F486))),"数量がありません","金額がありません")),IF(NOT(ISNUMBER(A486)),"日付がありません（月別集計に入りません）",IF(AND(ISNUMBER(F486),ISNUMBER(J486),ISNUMBER(I486)),"数量×単価を使いました（金額の欄は使っていません）","")))))))</f>
        <v/>
      </c>
      <c r="N486" s="91">
        <f>IF(AND(B486&lt;&gt;"",B486='案件カード'!$C$3),COUNTIF($B$5:B486,'案件カード'!$C$3),"")</f>
        <v/>
      </c>
      <c r="O486" s="91">
        <f>IF(ISNUMBER(K486),IF(B486="",K486,IF(AND(ISNUMBER(MATCH(B486,'案件'!$A$6:$A$105,0)),OR(D486="材料費",D486="労務費",D486="外注費",D486="経費")),0,K486)),0)</f>
        <v/>
      </c>
    </row>
    <row r="487" ht="16" customHeight="1">
      <c r="A487" s="35" t="n"/>
      <c r="B487" s="36" t="n"/>
      <c r="C487" s="37">
        <f>IF(B487="","",IFERROR(INDEX('案件'!$B$6:$B$105,MATCH(B487,'案件'!$A$6:$A$105,0))&amp;"","（案件シートに無い番号）"))</f>
        <v/>
      </c>
      <c r="D487" s="36" t="n"/>
      <c r="E487" s="38" t="n"/>
      <c r="F487" s="39" t="n"/>
      <c r="G487" s="36" t="n"/>
      <c r="H487" s="40" t="n"/>
      <c r="I487" s="40" t="n"/>
      <c r="J487" s="41">
        <f>IF(ISNUMBER(H487),H487,IF(AND(D487="労務費",TRIM(E487)&lt;&gt;""),IFERROR(INDEX('設定'!$G$12:$G$31,MATCH(TRIM(E487),'設定'!$J$12:$J$31,0)),""),""))</f>
        <v/>
      </c>
      <c r="K487" s="30">
        <f>IF(AND(ISNUMBER(F487),ISNUMBER(J487)),ROUND(F487*J487,0),IF(ISNUMBER(I487),I487,""))</f>
        <v/>
      </c>
      <c r="L487" s="33" t="n"/>
      <c r="M487" s="34">
        <f>IF(COUNTA(A487:B487,D487:I487,L487)=0,"",IF(B487="","案件番号がありません",IF(ISNA(MATCH(B487,'案件'!$A$6:$A$105,0)),"案件シートに無い番号です",IF(NOT(OR(D487="材料費",D487="労務費",D487="外注費",D487="経費")),"費目を4つから選んでください",IF(K487="",IF(AND(ISNUMBER(F487),NOT(ISNUMBER(J487))),IF(D487="労務費","単価がありません（設定の作業者名と同じ書き方に）","単価がありません"),IF(AND(ISNUMBER(J487),NOT(ISNUMBER(F487))),"数量がありません","金額がありません")),IF(NOT(ISNUMBER(A487)),"日付がありません（月別集計に入りません）",IF(AND(ISNUMBER(F487),ISNUMBER(J487),ISNUMBER(I487)),"数量×単価を使いました（金額の欄は使っていません）","")))))))</f>
        <v/>
      </c>
      <c r="N487" s="91">
        <f>IF(AND(B487&lt;&gt;"",B487='案件カード'!$C$3),COUNTIF($B$5:B487,'案件カード'!$C$3),"")</f>
        <v/>
      </c>
      <c r="O487" s="91">
        <f>IF(ISNUMBER(K487),IF(B487="",K487,IF(AND(ISNUMBER(MATCH(B487,'案件'!$A$6:$A$105,0)),OR(D487="材料費",D487="労務費",D487="外注費",D487="経費")),0,K487)),0)</f>
        <v/>
      </c>
    </row>
    <row r="488" ht="16" customHeight="1">
      <c r="A488" s="35" t="n"/>
      <c r="B488" s="36" t="n"/>
      <c r="C488" s="37">
        <f>IF(B488="","",IFERROR(INDEX('案件'!$B$6:$B$105,MATCH(B488,'案件'!$A$6:$A$105,0))&amp;"","（案件シートに無い番号）"))</f>
        <v/>
      </c>
      <c r="D488" s="36" t="n"/>
      <c r="E488" s="38" t="n"/>
      <c r="F488" s="39" t="n"/>
      <c r="G488" s="36" t="n"/>
      <c r="H488" s="40" t="n"/>
      <c r="I488" s="40" t="n"/>
      <c r="J488" s="41">
        <f>IF(ISNUMBER(H488),H488,IF(AND(D488="労務費",TRIM(E488)&lt;&gt;""),IFERROR(INDEX('設定'!$G$12:$G$31,MATCH(TRIM(E488),'設定'!$J$12:$J$31,0)),""),""))</f>
        <v/>
      </c>
      <c r="K488" s="30">
        <f>IF(AND(ISNUMBER(F488),ISNUMBER(J488)),ROUND(F488*J488,0),IF(ISNUMBER(I488),I488,""))</f>
        <v/>
      </c>
      <c r="L488" s="33" t="n"/>
      <c r="M488" s="34">
        <f>IF(COUNTA(A488:B488,D488:I488,L488)=0,"",IF(B488="","案件番号がありません",IF(ISNA(MATCH(B488,'案件'!$A$6:$A$105,0)),"案件シートに無い番号です",IF(NOT(OR(D488="材料費",D488="労務費",D488="外注費",D488="経費")),"費目を4つから選んでください",IF(K488="",IF(AND(ISNUMBER(F488),NOT(ISNUMBER(J488))),IF(D488="労務費","単価がありません（設定の作業者名と同じ書き方に）","単価がありません"),IF(AND(ISNUMBER(J488),NOT(ISNUMBER(F488))),"数量がありません","金額がありません")),IF(NOT(ISNUMBER(A488)),"日付がありません（月別集計に入りません）",IF(AND(ISNUMBER(F488),ISNUMBER(J488),ISNUMBER(I488)),"数量×単価を使いました（金額の欄は使っていません）","")))))))</f>
        <v/>
      </c>
      <c r="N488" s="91">
        <f>IF(AND(B488&lt;&gt;"",B488='案件カード'!$C$3),COUNTIF($B$5:B488,'案件カード'!$C$3),"")</f>
        <v/>
      </c>
      <c r="O488" s="91">
        <f>IF(ISNUMBER(K488),IF(B488="",K488,IF(AND(ISNUMBER(MATCH(B488,'案件'!$A$6:$A$105,0)),OR(D488="材料費",D488="労務費",D488="外注費",D488="経費")),0,K488)),0)</f>
        <v/>
      </c>
    </row>
    <row r="489" ht="16" customHeight="1">
      <c r="A489" s="35" t="n"/>
      <c r="B489" s="36" t="n"/>
      <c r="C489" s="37">
        <f>IF(B489="","",IFERROR(INDEX('案件'!$B$6:$B$105,MATCH(B489,'案件'!$A$6:$A$105,0))&amp;"","（案件シートに無い番号）"))</f>
        <v/>
      </c>
      <c r="D489" s="36" t="n"/>
      <c r="E489" s="38" t="n"/>
      <c r="F489" s="39" t="n"/>
      <c r="G489" s="36" t="n"/>
      <c r="H489" s="40" t="n"/>
      <c r="I489" s="40" t="n"/>
      <c r="J489" s="41">
        <f>IF(ISNUMBER(H489),H489,IF(AND(D489="労務費",TRIM(E489)&lt;&gt;""),IFERROR(INDEX('設定'!$G$12:$G$31,MATCH(TRIM(E489),'設定'!$J$12:$J$31,0)),""),""))</f>
        <v/>
      </c>
      <c r="K489" s="30">
        <f>IF(AND(ISNUMBER(F489),ISNUMBER(J489)),ROUND(F489*J489,0),IF(ISNUMBER(I489),I489,""))</f>
        <v/>
      </c>
      <c r="L489" s="33" t="n"/>
      <c r="M489" s="34">
        <f>IF(COUNTA(A489:B489,D489:I489,L489)=0,"",IF(B489="","案件番号がありません",IF(ISNA(MATCH(B489,'案件'!$A$6:$A$105,0)),"案件シートに無い番号です",IF(NOT(OR(D489="材料費",D489="労務費",D489="外注費",D489="経費")),"費目を4つから選んでください",IF(K489="",IF(AND(ISNUMBER(F489),NOT(ISNUMBER(J489))),IF(D489="労務費","単価がありません（設定の作業者名と同じ書き方に）","単価がありません"),IF(AND(ISNUMBER(J489),NOT(ISNUMBER(F489))),"数量がありません","金額がありません")),IF(NOT(ISNUMBER(A489)),"日付がありません（月別集計に入りません）",IF(AND(ISNUMBER(F489),ISNUMBER(J489),ISNUMBER(I489)),"数量×単価を使いました（金額の欄は使っていません）","")))))))</f>
        <v/>
      </c>
      <c r="N489" s="91">
        <f>IF(AND(B489&lt;&gt;"",B489='案件カード'!$C$3),COUNTIF($B$5:B489,'案件カード'!$C$3),"")</f>
        <v/>
      </c>
      <c r="O489" s="91">
        <f>IF(ISNUMBER(K489),IF(B489="",K489,IF(AND(ISNUMBER(MATCH(B489,'案件'!$A$6:$A$105,0)),OR(D489="材料費",D489="労務費",D489="外注費",D489="経費")),0,K489)),0)</f>
        <v/>
      </c>
    </row>
    <row r="490" ht="16" customHeight="1">
      <c r="A490" s="35" t="n"/>
      <c r="B490" s="36" t="n"/>
      <c r="C490" s="37">
        <f>IF(B490="","",IFERROR(INDEX('案件'!$B$6:$B$105,MATCH(B490,'案件'!$A$6:$A$105,0))&amp;"","（案件シートに無い番号）"))</f>
        <v/>
      </c>
      <c r="D490" s="36" t="n"/>
      <c r="E490" s="38" t="n"/>
      <c r="F490" s="39" t="n"/>
      <c r="G490" s="36" t="n"/>
      <c r="H490" s="40" t="n"/>
      <c r="I490" s="40" t="n"/>
      <c r="J490" s="41">
        <f>IF(ISNUMBER(H490),H490,IF(AND(D490="労務費",TRIM(E490)&lt;&gt;""),IFERROR(INDEX('設定'!$G$12:$G$31,MATCH(TRIM(E490),'設定'!$J$12:$J$31,0)),""),""))</f>
        <v/>
      </c>
      <c r="K490" s="30">
        <f>IF(AND(ISNUMBER(F490),ISNUMBER(J490)),ROUND(F490*J490,0),IF(ISNUMBER(I490),I490,""))</f>
        <v/>
      </c>
      <c r="L490" s="33" t="n"/>
      <c r="M490" s="34">
        <f>IF(COUNTA(A490:B490,D490:I490,L490)=0,"",IF(B490="","案件番号がありません",IF(ISNA(MATCH(B490,'案件'!$A$6:$A$105,0)),"案件シートに無い番号です",IF(NOT(OR(D490="材料費",D490="労務費",D490="外注費",D490="経費")),"費目を4つから選んでください",IF(K490="",IF(AND(ISNUMBER(F490),NOT(ISNUMBER(J490))),IF(D490="労務費","単価がありません（設定の作業者名と同じ書き方に）","単価がありません"),IF(AND(ISNUMBER(J490),NOT(ISNUMBER(F490))),"数量がありません","金額がありません")),IF(NOT(ISNUMBER(A490)),"日付がありません（月別集計に入りません）",IF(AND(ISNUMBER(F490),ISNUMBER(J490),ISNUMBER(I490)),"数量×単価を使いました（金額の欄は使っていません）","")))))))</f>
        <v/>
      </c>
      <c r="N490" s="91">
        <f>IF(AND(B490&lt;&gt;"",B490='案件カード'!$C$3),COUNTIF($B$5:B490,'案件カード'!$C$3),"")</f>
        <v/>
      </c>
      <c r="O490" s="91">
        <f>IF(ISNUMBER(K490),IF(B490="",K490,IF(AND(ISNUMBER(MATCH(B490,'案件'!$A$6:$A$105,0)),OR(D490="材料費",D490="労務費",D490="外注費",D490="経費")),0,K490)),0)</f>
        <v/>
      </c>
    </row>
    <row r="491" ht="16" customHeight="1">
      <c r="A491" s="35" t="n"/>
      <c r="B491" s="36" t="n"/>
      <c r="C491" s="37">
        <f>IF(B491="","",IFERROR(INDEX('案件'!$B$6:$B$105,MATCH(B491,'案件'!$A$6:$A$105,0))&amp;"","（案件シートに無い番号）"))</f>
        <v/>
      </c>
      <c r="D491" s="36" t="n"/>
      <c r="E491" s="38" t="n"/>
      <c r="F491" s="39" t="n"/>
      <c r="G491" s="36" t="n"/>
      <c r="H491" s="40" t="n"/>
      <c r="I491" s="40" t="n"/>
      <c r="J491" s="41">
        <f>IF(ISNUMBER(H491),H491,IF(AND(D491="労務費",TRIM(E491)&lt;&gt;""),IFERROR(INDEX('設定'!$G$12:$G$31,MATCH(TRIM(E491),'設定'!$J$12:$J$31,0)),""),""))</f>
        <v/>
      </c>
      <c r="K491" s="30">
        <f>IF(AND(ISNUMBER(F491),ISNUMBER(J491)),ROUND(F491*J491,0),IF(ISNUMBER(I491),I491,""))</f>
        <v/>
      </c>
      <c r="L491" s="33" t="n"/>
      <c r="M491" s="34">
        <f>IF(COUNTA(A491:B491,D491:I491,L491)=0,"",IF(B491="","案件番号がありません",IF(ISNA(MATCH(B491,'案件'!$A$6:$A$105,0)),"案件シートに無い番号です",IF(NOT(OR(D491="材料費",D491="労務費",D491="外注費",D491="経費")),"費目を4つから選んでください",IF(K491="",IF(AND(ISNUMBER(F491),NOT(ISNUMBER(J491))),IF(D491="労務費","単価がありません（設定の作業者名と同じ書き方に）","単価がありません"),IF(AND(ISNUMBER(J491),NOT(ISNUMBER(F491))),"数量がありません","金額がありません")),IF(NOT(ISNUMBER(A491)),"日付がありません（月別集計に入りません）",IF(AND(ISNUMBER(F491),ISNUMBER(J491),ISNUMBER(I491)),"数量×単価を使いました（金額の欄は使っていません）","")))))))</f>
        <v/>
      </c>
      <c r="N491" s="91">
        <f>IF(AND(B491&lt;&gt;"",B491='案件カード'!$C$3),COUNTIF($B$5:B491,'案件カード'!$C$3),"")</f>
        <v/>
      </c>
      <c r="O491" s="91">
        <f>IF(ISNUMBER(K491),IF(B491="",K491,IF(AND(ISNUMBER(MATCH(B491,'案件'!$A$6:$A$105,0)),OR(D491="材料費",D491="労務費",D491="外注費",D491="経費")),0,K491)),0)</f>
        <v/>
      </c>
    </row>
    <row r="492" ht="16" customHeight="1">
      <c r="A492" s="35" t="n"/>
      <c r="B492" s="36" t="n"/>
      <c r="C492" s="37">
        <f>IF(B492="","",IFERROR(INDEX('案件'!$B$6:$B$105,MATCH(B492,'案件'!$A$6:$A$105,0))&amp;"","（案件シートに無い番号）"))</f>
        <v/>
      </c>
      <c r="D492" s="36" t="n"/>
      <c r="E492" s="38" t="n"/>
      <c r="F492" s="39" t="n"/>
      <c r="G492" s="36" t="n"/>
      <c r="H492" s="40" t="n"/>
      <c r="I492" s="40" t="n"/>
      <c r="J492" s="41">
        <f>IF(ISNUMBER(H492),H492,IF(AND(D492="労務費",TRIM(E492)&lt;&gt;""),IFERROR(INDEX('設定'!$G$12:$G$31,MATCH(TRIM(E492),'設定'!$J$12:$J$31,0)),""),""))</f>
        <v/>
      </c>
      <c r="K492" s="30">
        <f>IF(AND(ISNUMBER(F492),ISNUMBER(J492)),ROUND(F492*J492,0),IF(ISNUMBER(I492),I492,""))</f>
        <v/>
      </c>
      <c r="L492" s="33" t="n"/>
      <c r="M492" s="34">
        <f>IF(COUNTA(A492:B492,D492:I492,L492)=0,"",IF(B492="","案件番号がありません",IF(ISNA(MATCH(B492,'案件'!$A$6:$A$105,0)),"案件シートに無い番号です",IF(NOT(OR(D492="材料費",D492="労務費",D492="外注費",D492="経費")),"費目を4つから選んでください",IF(K492="",IF(AND(ISNUMBER(F492),NOT(ISNUMBER(J492))),IF(D492="労務費","単価がありません（設定の作業者名と同じ書き方に）","単価がありません"),IF(AND(ISNUMBER(J492),NOT(ISNUMBER(F492))),"数量がありません","金額がありません")),IF(NOT(ISNUMBER(A492)),"日付がありません（月別集計に入りません）",IF(AND(ISNUMBER(F492),ISNUMBER(J492),ISNUMBER(I492)),"数量×単価を使いました（金額の欄は使っていません）","")))))))</f>
        <v/>
      </c>
      <c r="N492" s="91">
        <f>IF(AND(B492&lt;&gt;"",B492='案件カード'!$C$3),COUNTIF($B$5:B492,'案件カード'!$C$3),"")</f>
        <v/>
      </c>
      <c r="O492" s="91">
        <f>IF(ISNUMBER(K492),IF(B492="",K492,IF(AND(ISNUMBER(MATCH(B492,'案件'!$A$6:$A$105,0)),OR(D492="材料費",D492="労務費",D492="外注費",D492="経費")),0,K492)),0)</f>
        <v/>
      </c>
    </row>
    <row r="493" ht="16" customHeight="1">
      <c r="A493" s="35" t="n"/>
      <c r="B493" s="36" t="n"/>
      <c r="C493" s="37">
        <f>IF(B493="","",IFERROR(INDEX('案件'!$B$6:$B$105,MATCH(B493,'案件'!$A$6:$A$105,0))&amp;"","（案件シートに無い番号）"))</f>
        <v/>
      </c>
      <c r="D493" s="36" t="n"/>
      <c r="E493" s="38" t="n"/>
      <c r="F493" s="39" t="n"/>
      <c r="G493" s="36" t="n"/>
      <c r="H493" s="40" t="n"/>
      <c r="I493" s="40" t="n"/>
      <c r="J493" s="41">
        <f>IF(ISNUMBER(H493),H493,IF(AND(D493="労務費",TRIM(E493)&lt;&gt;""),IFERROR(INDEX('設定'!$G$12:$G$31,MATCH(TRIM(E493),'設定'!$J$12:$J$31,0)),""),""))</f>
        <v/>
      </c>
      <c r="K493" s="30">
        <f>IF(AND(ISNUMBER(F493),ISNUMBER(J493)),ROUND(F493*J493,0),IF(ISNUMBER(I493),I493,""))</f>
        <v/>
      </c>
      <c r="L493" s="33" t="n"/>
      <c r="M493" s="34">
        <f>IF(COUNTA(A493:B493,D493:I493,L493)=0,"",IF(B493="","案件番号がありません",IF(ISNA(MATCH(B493,'案件'!$A$6:$A$105,0)),"案件シートに無い番号です",IF(NOT(OR(D493="材料費",D493="労務費",D493="外注費",D493="経費")),"費目を4つから選んでください",IF(K493="",IF(AND(ISNUMBER(F493),NOT(ISNUMBER(J493))),IF(D493="労務費","単価がありません（設定の作業者名と同じ書き方に）","単価がありません"),IF(AND(ISNUMBER(J493),NOT(ISNUMBER(F493))),"数量がありません","金額がありません")),IF(NOT(ISNUMBER(A493)),"日付がありません（月別集計に入りません）",IF(AND(ISNUMBER(F493),ISNUMBER(J493),ISNUMBER(I493)),"数量×単価を使いました（金額の欄は使っていません）","")))))))</f>
        <v/>
      </c>
      <c r="N493" s="91">
        <f>IF(AND(B493&lt;&gt;"",B493='案件カード'!$C$3),COUNTIF($B$5:B493,'案件カード'!$C$3),"")</f>
        <v/>
      </c>
      <c r="O493" s="91">
        <f>IF(ISNUMBER(K493),IF(B493="",K493,IF(AND(ISNUMBER(MATCH(B493,'案件'!$A$6:$A$105,0)),OR(D493="材料費",D493="労務費",D493="外注費",D493="経費")),0,K493)),0)</f>
        <v/>
      </c>
    </row>
    <row r="494" ht="16" customHeight="1">
      <c r="A494" s="35" t="n"/>
      <c r="B494" s="36" t="n"/>
      <c r="C494" s="37">
        <f>IF(B494="","",IFERROR(INDEX('案件'!$B$6:$B$105,MATCH(B494,'案件'!$A$6:$A$105,0))&amp;"","（案件シートに無い番号）"))</f>
        <v/>
      </c>
      <c r="D494" s="36" t="n"/>
      <c r="E494" s="38" t="n"/>
      <c r="F494" s="39" t="n"/>
      <c r="G494" s="36" t="n"/>
      <c r="H494" s="40" t="n"/>
      <c r="I494" s="40" t="n"/>
      <c r="J494" s="41">
        <f>IF(ISNUMBER(H494),H494,IF(AND(D494="労務費",TRIM(E494)&lt;&gt;""),IFERROR(INDEX('設定'!$G$12:$G$31,MATCH(TRIM(E494),'設定'!$J$12:$J$31,0)),""),""))</f>
        <v/>
      </c>
      <c r="K494" s="30">
        <f>IF(AND(ISNUMBER(F494),ISNUMBER(J494)),ROUND(F494*J494,0),IF(ISNUMBER(I494),I494,""))</f>
        <v/>
      </c>
      <c r="L494" s="33" t="n"/>
      <c r="M494" s="34">
        <f>IF(COUNTA(A494:B494,D494:I494,L494)=0,"",IF(B494="","案件番号がありません",IF(ISNA(MATCH(B494,'案件'!$A$6:$A$105,0)),"案件シートに無い番号です",IF(NOT(OR(D494="材料費",D494="労務費",D494="外注費",D494="経費")),"費目を4つから選んでください",IF(K494="",IF(AND(ISNUMBER(F494),NOT(ISNUMBER(J494))),IF(D494="労務費","単価がありません（設定の作業者名と同じ書き方に）","単価がありません"),IF(AND(ISNUMBER(J494),NOT(ISNUMBER(F494))),"数量がありません","金額がありません")),IF(NOT(ISNUMBER(A494)),"日付がありません（月別集計に入りません）",IF(AND(ISNUMBER(F494),ISNUMBER(J494),ISNUMBER(I494)),"数量×単価を使いました（金額の欄は使っていません）","")))))))</f>
        <v/>
      </c>
      <c r="N494" s="91">
        <f>IF(AND(B494&lt;&gt;"",B494='案件カード'!$C$3),COUNTIF($B$5:B494,'案件カード'!$C$3),"")</f>
        <v/>
      </c>
      <c r="O494" s="91">
        <f>IF(ISNUMBER(K494),IF(B494="",K494,IF(AND(ISNUMBER(MATCH(B494,'案件'!$A$6:$A$105,0)),OR(D494="材料費",D494="労務費",D494="外注費",D494="経費")),0,K494)),0)</f>
        <v/>
      </c>
    </row>
    <row r="495" ht="16" customHeight="1">
      <c r="A495" s="35" t="n"/>
      <c r="B495" s="36" t="n"/>
      <c r="C495" s="37">
        <f>IF(B495="","",IFERROR(INDEX('案件'!$B$6:$B$105,MATCH(B495,'案件'!$A$6:$A$105,0))&amp;"","（案件シートに無い番号）"))</f>
        <v/>
      </c>
      <c r="D495" s="36" t="n"/>
      <c r="E495" s="38" t="n"/>
      <c r="F495" s="39" t="n"/>
      <c r="G495" s="36" t="n"/>
      <c r="H495" s="40" t="n"/>
      <c r="I495" s="40" t="n"/>
      <c r="J495" s="41">
        <f>IF(ISNUMBER(H495),H495,IF(AND(D495="労務費",TRIM(E495)&lt;&gt;""),IFERROR(INDEX('設定'!$G$12:$G$31,MATCH(TRIM(E495),'設定'!$J$12:$J$31,0)),""),""))</f>
        <v/>
      </c>
      <c r="K495" s="30">
        <f>IF(AND(ISNUMBER(F495),ISNUMBER(J495)),ROUND(F495*J495,0),IF(ISNUMBER(I495),I495,""))</f>
        <v/>
      </c>
      <c r="L495" s="33" t="n"/>
      <c r="M495" s="34">
        <f>IF(COUNTA(A495:B495,D495:I495,L495)=0,"",IF(B495="","案件番号がありません",IF(ISNA(MATCH(B495,'案件'!$A$6:$A$105,0)),"案件シートに無い番号です",IF(NOT(OR(D495="材料費",D495="労務費",D495="外注費",D495="経費")),"費目を4つから選んでください",IF(K495="",IF(AND(ISNUMBER(F495),NOT(ISNUMBER(J495))),IF(D495="労務費","単価がありません（設定の作業者名と同じ書き方に）","単価がありません"),IF(AND(ISNUMBER(J495),NOT(ISNUMBER(F495))),"数量がありません","金額がありません")),IF(NOT(ISNUMBER(A495)),"日付がありません（月別集計に入りません）",IF(AND(ISNUMBER(F495),ISNUMBER(J495),ISNUMBER(I495)),"数量×単価を使いました（金額の欄は使っていません）","")))))))</f>
        <v/>
      </c>
      <c r="N495" s="91">
        <f>IF(AND(B495&lt;&gt;"",B495='案件カード'!$C$3),COUNTIF($B$5:B495,'案件カード'!$C$3),"")</f>
        <v/>
      </c>
      <c r="O495" s="91">
        <f>IF(ISNUMBER(K495),IF(B495="",K495,IF(AND(ISNUMBER(MATCH(B495,'案件'!$A$6:$A$105,0)),OR(D495="材料費",D495="労務費",D495="外注費",D495="経費")),0,K495)),0)</f>
        <v/>
      </c>
    </row>
    <row r="496" ht="16" customHeight="1">
      <c r="A496" s="35" t="n"/>
      <c r="B496" s="36" t="n"/>
      <c r="C496" s="37">
        <f>IF(B496="","",IFERROR(INDEX('案件'!$B$6:$B$105,MATCH(B496,'案件'!$A$6:$A$105,0))&amp;"","（案件シートに無い番号）"))</f>
        <v/>
      </c>
      <c r="D496" s="36" t="n"/>
      <c r="E496" s="38" t="n"/>
      <c r="F496" s="39" t="n"/>
      <c r="G496" s="36" t="n"/>
      <c r="H496" s="40" t="n"/>
      <c r="I496" s="40" t="n"/>
      <c r="J496" s="41">
        <f>IF(ISNUMBER(H496),H496,IF(AND(D496="労務費",TRIM(E496)&lt;&gt;""),IFERROR(INDEX('設定'!$G$12:$G$31,MATCH(TRIM(E496),'設定'!$J$12:$J$31,0)),""),""))</f>
        <v/>
      </c>
      <c r="K496" s="30">
        <f>IF(AND(ISNUMBER(F496),ISNUMBER(J496)),ROUND(F496*J496,0),IF(ISNUMBER(I496),I496,""))</f>
        <v/>
      </c>
      <c r="L496" s="33" t="n"/>
      <c r="M496" s="34">
        <f>IF(COUNTA(A496:B496,D496:I496,L496)=0,"",IF(B496="","案件番号がありません",IF(ISNA(MATCH(B496,'案件'!$A$6:$A$105,0)),"案件シートに無い番号です",IF(NOT(OR(D496="材料費",D496="労務費",D496="外注費",D496="経費")),"費目を4つから選んでください",IF(K496="",IF(AND(ISNUMBER(F496),NOT(ISNUMBER(J496))),IF(D496="労務費","単価がありません（設定の作業者名と同じ書き方に）","単価がありません"),IF(AND(ISNUMBER(J496),NOT(ISNUMBER(F496))),"数量がありません","金額がありません")),IF(NOT(ISNUMBER(A496)),"日付がありません（月別集計に入りません）",IF(AND(ISNUMBER(F496),ISNUMBER(J496),ISNUMBER(I496)),"数量×単価を使いました（金額の欄は使っていません）","")))))))</f>
        <v/>
      </c>
      <c r="N496" s="91">
        <f>IF(AND(B496&lt;&gt;"",B496='案件カード'!$C$3),COUNTIF($B$5:B496,'案件カード'!$C$3),"")</f>
        <v/>
      </c>
      <c r="O496" s="91">
        <f>IF(ISNUMBER(K496),IF(B496="",K496,IF(AND(ISNUMBER(MATCH(B496,'案件'!$A$6:$A$105,0)),OR(D496="材料費",D496="労務費",D496="外注費",D496="経費")),0,K496)),0)</f>
        <v/>
      </c>
    </row>
    <row r="497" ht="16" customHeight="1">
      <c r="A497" s="35" t="n"/>
      <c r="B497" s="36" t="n"/>
      <c r="C497" s="37">
        <f>IF(B497="","",IFERROR(INDEX('案件'!$B$6:$B$105,MATCH(B497,'案件'!$A$6:$A$105,0))&amp;"","（案件シートに無い番号）"))</f>
        <v/>
      </c>
      <c r="D497" s="36" t="n"/>
      <c r="E497" s="38" t="n"/>
      <c r="F497" s="39" t="n"/>
      <c r="G497" s="36" t="n"/>
      <c r="H497" s="40" t="n"/>
      <c r="I497" s="40" t="n"/>
      <c r="J497" s="41">
        <f>IF(ISNUMBER(H497),H497,IF(AND(D497="労務費",TRIM(E497)&lt;&gt;""),IFERROR(INDEX('設定'!$G$12:$G$31,MATCH(TRIM(E497),'設定'!$J$12:$J$31,0)),""),""))</f>
        <v/>
      </c>
      <c r="K497" s="30">
        <f>IF(AND(ISNUMBER(F497),ISNUMBER(J497)),ROUND(F497*J497,0),IF(ISNUMBER(I497),I497,""))</f>
        <v/>
      </c>
      <c r="L497" s="33" t="n"/>
      <c r="M497" s="34">
        <f>IF(COUNTA(A497:B497,D497:I497,L497)=0,"",IF(B497="","案件番号がありません",IF(ISNA(MATCH(B497,'案件'!$A$6:$A$105,0)),"案件シートに無い番号です",IF(NOT(OR(D497="材料費",D497="労務費",D497="外注費",D497="経費")),"費目を4つから選んでください",IF(K497="",IF(AND(ISNUMBER(F497),NOT(ISNUMBER(J497))),IF(D497="労務費","単価がありません（設定の作業者名と同じ書き方に）","単価がありません"),IF(AND(ISNUMBER(J497),NOT(ISNUMBER(F497))),"数量がありません","金額がありません")),IF(NOT(ISNUMBER(A497)),"日付がありません（月別集計に入りません）",IF(AND(ISNUMBER(F497),ISNUMBER(J497),ISNUMBER(I497)),"数量×単価を使いました（金額の欄は使っていません）","")))))))</f>
        <v/>
      </c>
      <c r="N497" s="91">
        <f>IF(AND(B497&lt;&gt;"",B497='案件カード'!$C$3),COUNTIF($B$5:B497,'案件カード'!$C$3),"")</f>
        <v/>
      </c>
      <c r="O497" s="91">
        <f>IF(ISNUMBER(K497),IF(B497="",K497,IF(AND(ISNUMBER(MATCH(B497,'案件'!$A$6:$A$105,0)),OR(D497="材料費",D497="労務費",D497="外注費",D497="経費")),0,K497)),0)</f>
        <v/>
      </c>
    </row>
    <row r="498" ht="16" customHeight="1">
      <c r="A498" s="35" t="n"/>
      <c r="B498" s="36" t="n"/>
      <c r="C498" s="37">
        <f>IF(B498="","",IFERROR(INDEX('案件'!$B$6:$B$105,MATCH(B498,'案件'!$A$6:$A$105,0))&amp;"","（案件シートに無い番号）"))</f>
        <v/>
      </c>
      <c r="D498" s="36" t="n"/>
      <c r="E498" s="38" t="n"/>
      <c r="F498" s="39" t="n"/>
      <c r="G498" s="36" t="n"/>
      <c r="H498" s="40" t="n"/>
      <c r="I498" s="40" t="n"/>
      <c r="J498" s="41">
        <f>IF(ISNUMBER(H498),H498,IF(AND(D498="労務費",TRIM(E498)&lt;&gt;""),IFERROR(INDEX('設定'!$G$12:$G$31,MATCH(TRIM(E498),'設定'!$J$12:$J$31,0)),""),""))</f>
        <v/>
      </c>
      <c r="K498" s="30">
        <f>IF(AND(ISNUMBER(F498),ISNUMBER(J498)),ROUND(F498*J498,0),IF(ISNUMBER(I498),I498,""))</f>
        <v/>
      </c>
      <c r="L498" s="33" t="n"/>
      <c r="M498" s="34">
        <f>IF(COUNTA(A498:B498,D498:I498,L498)=0,"",IF(B498="","案件番号がありません",IF(ISNA(MATCH(B498,'案件'!$A$6:$A$105,0)),"案件シートに無い番号です",IF(NOT(OR(D498="材料費",D498="労務費",D498="外注費",D498="経費")),"費目を4つから選んでください",IF(K498="",IF(AND(ISNUMBER(F498),NOT(ISNUMBER(J498))),IF(D498="労務費","単価がありません（設定の作業者名と同じ書き方に）","単価がありません"),IF(AND(ISNUMBER(J498),NOT(ISNUMBER(F498))),"数量がありません","金額がありません")),IF(NOT(ISNUMBER(A498)),"日付がありません（月別集計に入りません）",IF(AND(ISNUMBER(F498),ISNUMBER(J498),ISNUMBER(I498)),"数量×単価を使いました（金額の欄は使っていません）","")))))))</f>
        <v/>
      </c>
      <c r="N498" s="91">
        <f>IF(AND(B498&lt;&gt;"",B498='案件カード'!$C$3),COUNTIF($B$5:B498,'案件カード'!$C$3),"")</f>
        <v/>
      </c>
      <c r="O498" s="91">
        <f>IF(ISNUMBER(K498),IF(B498="",K498,IF(AND(ISNUMBER(MATCH(B498,'案件'!$A$6:$A$105,0)),OR(D498="材料費",D498="労務費",D498="外注費",D498="経費")),0,K498)),0)</f>
        <v/>
      </c>
    </row>
    <row r="499" ht="16" customHeight="1">
      <c r="A499" s="35" t="n"/>
      <c r="B499" s="36" t="n"/>
      <c r="C499" s="37">
        <f>IF(B499="","",IFERROR(INDEX('案件'!$B$6:$B$105,MATCH(B499,'案件'!$A$6:$A$105,0))&amp;"","（案件シートに無い番号）"))</f>
        <v/>
      </c>
      <c r="D499" s="36" t="n"/>
      <c r="E499" s="38" t="n"/>
      <c r="F499" s="39" t="n"/>
      <c r="G499" s="36" t="n"/>
      <c r="H499" s="40" t="n"/>
      <c r="I499" s="40" t="n"/>
      <c r="J499" s="41">
        <f>IF(ISNUMBER(H499),H499,IF(AND(D499="労務費",TRIM(E499)&lt;&gt;""),IFERROR(INDEX('設定'!$G$12:$G$31,MATCH(TRIM(E499),'設定'!$J$12:$J$31,0)),""),""))</f>
        <v/>
      </c>
      <c r="K499" s="30">
        <f>IF(AND(ISNUMBER(F499),ISNUMBER(J499)),ROUND(F499*J499,0),IF(ISNUMBER(I499),I499,""))</f>
        <v/>
      </c>
      <c r="L499" s="33" t="n"/>
      <c r="M499" s="34">
        <f>IF(COUNTA(A499:B499,D499:I499,L499)=0,"",IF(B499="","案件番号がありません",IF(ISNA(MATCH(B499,'案件'!$A$6:$A$105,0)),"案件シートに無い番号です",IF(NOT(OR(D499="材料費",D499="労務費",D499="外注費",D499="経費")),"費目を4つから選んでください",IF(K499="",IF(AND(ISNUMBER(F499),NOT(ISNUMBER(J499))),IF(D499="労務費","単価がありません（設定の作業者名と同じ書き方に）","単価がありません"),IF(AND(ISNUMBER(J499),NOT(ISNUMBER(F499))),"数量がありません","金額がありません")),IF(NOT(ISNUMBER(A499)),"日付がありません（月別集計に入りません）",IF(AND(ISNUMBER(F499),ISNUMBER(J499),ISNUMBER(I499)),"数量×単価を使いました（金額の欄は使っていません）","")))))))</f>
        <v/>
      </c>
      <c r="N499" s="91">
        <f>IF(AND(B499&lt;&gt;"",B499='案件カード'!$C$3),COUNTIF($B$5:B499,'案件カード'!$C$3),"")</f>
        <v/>
      </c>
      <c r="O499" s="91">
        <f>IF(ISNUMBER(K499),IF(B499="",K499,IF(AND(ISNUMBER(MATCH(B499,'案件'!$A$6:$A$105,0)),OR(D499="材料費",D499="労務費",D499="外注費",D499="経費")),0,K499)),0)</f>
        <v/>
      </c>
    </row>
    <row r="500" ht="16" customHeight="1">
      <c r="A500" s="35" t="n"/>
      <c r="B500" s="36" t="n"/>
      <c r="C500" s="37">
        <f>IF(B500="","",IFERROR(INDEX('案件'!$B$6:$B$105,MATCH(B500,'案件'!$A$6:$A$105,0))&amp;"","（案件シートに無い番号）"))</f>
        <v/>
      </c>
      <c r="D500" s="36" t="n"/>
      <c r="E500" s="38" t="n"/>
      <c r="F500" s="39" t="n"/>
      <c r="G500" s="36" t="n"/>
      <c r="H500" s="40" t="n"/>
      <c r="I500" s="40" t="n"/>
      <c r="J500" s="41">
        <f>IF(ISNUMBER(H500),H500,IF(AND(D500="労務費",TRIM(E500)&lt;&gt;""),IFERROR(INDEX('設定'!$G$12:$G$31,MATCH(TRIM(E500),'設定'!$J$12:$J$31,0)),""),""))</f>
        <v/>
      </c>
      <c r="K500" s="30">
        <f>IF(AND(ISNUMBER(F500),ISNUMBER(J500)),ROUND(F500*J500,0),IF(ISNUMBER(I500),I500,""))</f>
        <v/>
      </c>
      <c r="L500" s="33" t="n"/>
      <c r="M500" s="34">
        <f>IF(COUNTA(A500:B500,D500:I500,L500)=0,"",IF(B500="","案件番号がありません",IF(ISNA(MATCH(B500,'案件'!$A$6:$A$105,0)),"案件シートに無い番号です",IF(NOT(OR(D500="材料費",D500="労務費",D500="外注費",D500="経費")),"費目を4つから選んでください",IF(K500="",IF(AND(ISNUMBER(F500),NOT(ISNUMBER(J500))),IF(D500="労務費","単価がありません（設定の作業者名と同じ書き方に）","単価がありません"),IF(AND(ISNUMBER(J500),NOT(ISNUMBER(F500))),"数量がありません","金額がありません")),IF(NOT(ISNUMBER(A500)),"日付がありません（月別集計に入りません）",IF(AND(ISNUMBER(F500),ISNUMBER(J500),ISNUMBER(I500)),"数量×単価を使いました（金額の欄は使っていません）","")))))))</f>
        <v/>
      </c>
      <c r="N500" s="91">
        <f>IF(AND(B500&lt;&gt;"",B500='案件カード'!$C$3),COUNTIF($B$5:B500,'案件カード'!$C$3),"")</f>
        <v/>
      </c>
      <c r="O500" s="91">
        <f>IF(ISNUMBER(K500),IF(B500="",K500,IF(AND(ISNUMBER(MATCH(B500,'案件'!$A$6:$A$105,0)),OR(D500="材料費",D500="労務費",D500="外注費",D500="経費")),0,K500)),0)</f>
        <v/>
      </c>
    </row>
    <row r="501" ht="16" customHeight="1">
      <c r="A501" s="35" t="n"/>
      <c r="B501" s="36" t="n"/>
      <c r="C501" s="37">
        <f>IF(B501="","",IFERROR(INDEX('案件'!$B$6:$B$105,MATCH(B501,'案件'!$A$6:$A$105,0))&amp;"","（案件シートに無い番号）"))</f>
        <v/>
      </c>
      <c r="D501" s="36" t="n"/>
      <c r="E501" s="38" t="n"/>
      <c r="F501" s="39" t="n"/>
      <c r="G501" s="36" t="n"/>
      <c r="H501" s="40" t="n"/>
      <c r="I501" s="40" t="n"/>
      <c r="J501" s="41">
        <f>IF(ISNUMBER(H501),H501,IF(AND(D501="労務費",TRIM(E501)&lt;&gt;""),IFERROR(INDEX('設定'!$G$12:$G$31,MATCH(TRIM(E501),'設定'!$J$12:$J$31,0)),""),""))</f>
        <v/>
      </c>
      <c r="K501" s="30">
        <f>IF(AND(ISNUMBER(F501),ISNUMBER(J501)),ROUND(F501*J501,0),IF(ISNUMBER(I501),I501,""))</f>
        <v/>
      </c>
      <c r="L501" s="33" t="n"/>
      <c r="M501" s="34">
        <f>IF(COUNTA(A501:B501,D501:I501,L501)=0,"",IF(B501="","案件番号がありません",IF(ISNA(MATCH(B501,'案件'!$A$6:$A$105,0)),"案件シートに無い番号です",IF(NOT(OR(D501="材料費",D501="労務費",D501="外注費",D501="経費")),"費目を4つから選んでください",IF(K501="",IF(AND(ISNUMBER(F501),NOT(ISNUMBER(J501))),IF(D501="労務費","単価がありません（設定の作業者名と同じ書き方に）","単価がありません"),IF(AND(ISNUMBER(J501),NOT(ISNUMBER(F501))),"数量がありません","金額がありません")),IF(NOT(ISNUMBER(A501)),"日付がありません（月別集計に入りません）",IF(AND(ISNUMBER(F501),ISNUMBER(J501),ISNUMBER(I501)),"数量×単価を使いました（金額の欄は使っていません）","")))))))</f>
        <v/>
      </c>
      <c r="N501" s="91">
        <f>IF(AND(B501&lt;&gt;"",B501='案件カード'!$C$3),COUNTIF($B$5:B501,'案件カード'!$C$3),"")</f>
        <v/>
      </c>
      <c r="O501" s="91">
        <f>IF(ISNUMBER(K501),IF(B501="",K501,IF(AND(ISNUMBER(MATCH(B501,'案件'!$A$6:$A$105,0)),OR(D501="材料費",D501="労務費",D501="外注費",D501="経費")),0,K501)),0)</f>
        <v/>
      </c>
    </row>
    <row r="502" ht="16" customHeight="1">
      <c r="A502" s="35" t="n"/>
      <c r="B502" s="36" t="n"/>
      <c r="C502" s="37">
        <f>IF(B502="","",IFERROR(INDEX('案件'!$B$6:$B$105,MATCH(B502,'案件'!$A$6:$A$105,0))&amp;"","（案件シートに無い番号）"))</f>
        <v/>
      </c>
      <c r="D502" s="36" t="n"/>
      <c r="E502" s="38" t="n"/>
      <c r="F502" s="39" t="n"/>
      <c r="G502" s="36" t="n"/>
      <c r="H502" s="40" t="n"/>
      <c r="I502" s="40" t="n"/>
      <c r="J502" s="41">
        <f>IF(ISNUMBER(H502),H502,IF(AND(D502="労務費",TRIM(E502)&lt;&gt;""),IFERROR(INDEX('設定'!$G$12:$G$31,MATCH(TRIM(E502),'設定'!$J$12:$J$31,0)),""),""))</f>
        <v/>
      </c>
      <c r="K502" s="30">
        <f>IF(AND(ISNUMBER(F502),ISNUMBER(J502)),ROUND(F502*J502,0),IF(ISNUMBER(I502),I502,""))</f>
        <v/>
      </c>
      <c r="L502" s="33" t="n"/>
      <c r="M502" s="34">
        <f>IF(COUNTA(A502:B502,D502:I502,L502)=0,"",IF(B502="","案件番号がありません",IF(ISNA(MATCH(B502,'案件'!$A$6:$A$105,0)),"案件シートに無い番号です",IF(NOT(OR(D502="材料費",D502="労務費",D502="外注費",D502="経費")),"費目を4つから選んでください",IF(K502="",IF(AND(ISNUMBER(F502),NOT(ISNUMBER(J502))),IF(D502="労務費","単価がありません（設定の作業者名と同じ書き方に）","単価がありません"),IF(AND(ISNUMBER(J502),NOT(ISNUMBER(F502))),"数量がありません","金額がありません")),IF(NOT(ISNUMBER(A502)),"日付がありません（月別集計に入りません）",IF(AND(ISNUMBER(F502),ISNUMBER(J502),ISNUMBER(I502)),"数量×単価を使いました（金額の欄は使っていません）","")))))))</f>
        <v/>
      </c>
      <c r="N502" s="91">
        <f>IF(AND(B502&lt;&gt;"",B502='案件カード'!$C$3),COUNTIF($B$5:B502,'案件カード'!$C$3),"")</f>
        <v/>
      </c>
      <c r="O502" s="91">
        <f>IF(ISNUMBER(K502),IF(B502="",K502,IF(AND(ISNUMBER(MATCH(B502,'案件'!$A$6:$A$105,0)),OR(D502="材料費",D502="労務費",D502="外注費",D502="経費")),0,K502)),0)</f>
        <v/>
      </c>
    </row>
    <row r="503" ht="16" customHeight="1">
      <c r="A503" s="35" t="n"/>
      <c r="B503" s="36" t="n"/>
      <c r="C503" s="37">
        <f>IF(B503="","",IFERROR(INDEX('案件'!$B$6:$B$105,MATCH(B503,'案件'!$A$6:$A$105,0))&amp;"","（案件シートに無い番号）"))</f>
        <v/>
      </c>
      <c r="D503" s="36" t="n"/>
      <c r="E503" s="38" t="n"/>
      <c r="F503" s="39" t="n"/>
      <c r="G503" s="36" t="n"/>
      <c r="H503" s="40" t="n"/>
      <c r="I503" s="40" t="n"/>
      <c r="J503" s="41">
        <f>IF(ISNUMBER(H503),H503,IF(AND(D503="労務費",TRIM(E503)&lt;&gt;""),IFERROR(INDEX('設定'!$G$12:$G$31,MATCH(TRIM(E503),'設定'!$J$12:$J$31,0)),""),""))</f>
        <v/>
      </c>
      <c r="K503" s="30">
        <f>IF(AND(ISNUMBER(F503),ISNUMBER(J503)),ROUND(F503*J503,0),IF(ISNUMBER(I503),I503,""))</f>
        <v/>
      </c>
      <c r="L503" s="33" t="n"/>
      <c r="M503" s="34">
        <f>IF(COUNTA(A503:B503,D503:I503,L503)=0,"",IF(B503="","案件番号がありません",IF(ISNA(MATCH(B503,'案件'!$A$6:$A$105,0)),"案件シートに無い番号です",IF(NOT(OR(D503="材料費",D503="労務費",D503="外注費",D503="経費")),"費目を4つから選んでください",IF(K503="",IF(AND(ISNUMBER(F503),NOT(ISNUMBER(J503))),IF(D503="労務費","単価がありません（設定の作業者名と同じ書き方に）","単価がありません"),IF(AND(ISNUMBER(J503),NOT(ISNUMBER(F503))),"数量がありません","金額がありません")),IF(NOT(ISNUMBER(A503)),"日付がありません（月別集計に入りません）",IF(AND(ISNUMBER(F503),ISNUMBER(J503),ISNUMBER(I503)),"数量×単価を使いました（金額の欄は使っていません）","")))))))</f>
        <v/>
      </c>
      <c r="N503" s="91">
        <f>IF(AND(B503&lt;&gt;"",B503='案件カード'!$C$3),COUNTIF($B$5:B503,'案件カード'!$C$3),"")</f>
        <v/>
      </c>
      <c r="O503" s="91">
        <f>IF(ISNUMBER(K503),IF(B503="",K503,IF(AND(ISNUMBER(MATCH(B503,'案件'!$A$6:$A$105,0)),OR(D503="材料費",D503="労務費",D503="外注費",D503="経費")),0,K503)),0)</f>
        <v/>
      </c>
    </row>
    <row r="504" ht="16" customHeight="1">
      <c r="A504" s="35" t="n"/>
      <c r="B504" s="36" t="n"/>
      <c r="C504" s="37">
        <f>IF(B504="","",IFERROR(INDEX('案件'!$B$6:$B$105,MATCH(B504,'案件'!$A$6:$A$105,0))&amp;"","（案件シートに無い番号）"))</f>
        <v/>
      </c>
      <c r="D504" s="36" t="n"/>
      <c r="E504" s="38" t="n"/>
      <c r="F504" s="39" t="n"/>
      <c r="G504" s="36" t="n"/>
      <c r="H504" s="40" t="n"/>
      <c r="I504" s="40" t="n"/>
      <c r="J504" s="41">
        <f>IF(ISNUMBER(H504),H504,IF(AND(D504="労務費",TRIM(E504)&lt;&gt;""),IFERROR(INDEX('設定'!$G$12:$G$31,MATCH(TRIM(E504),'設定'!$J$12:$J$31,0)),""),""))</f>
        <v/>
      </c>
      <c r="K504" s="30">
        <f>IF(AND(ISNUMBER(F504),ISNUMBER(J504)),ROUND(F504*J504,0),IF(ISNUMBER(I504),I504,""))</f>
        <v/>
      </c>
      <c r="L504" s="33" t="n"/>
      <c r="M504" s="34">
        <f>IF(COUNTA(A504:B504,D504:I504,L504)=0,"",IF(B504="","案件番号がありません",IF(ISNA(MATCH(B504,'案件'!$A$6:$A$105,0)),"案件シートに無い番号です",IF(NOT(OR(D504="材料費",D504="労務費",D504="外注費",D504="経費")),"費目を4つから選んでください",IF(K504="",IF(AND(ISNUMBER(F504),NOT(ISNUMBER(J504))),IF(D504="労務費","単価がありません（設定の作業者名と同じ書き方に）","単価がありません"),IF(AND(ISNUMBER(J504),NOT(ISNUMBER(F504))),"数量がありません","金額がありません")),IF(NOT(ISNUMBER(A504)),"日付がありません（月別集計に入りません）",IF(AND(ISNUMBER(F504),ISNUMBER(J504),ISNUMBER(I504)),"数量×単価を使いました（金額の欄は使っていません）","")))))))</f>
        <v/>
      </c>
      <c r="N504" s="91">
        <f>IF(AND(B504&lt;&gt;"",B504='案件カード'!$C$3),COUNTIF($B$5:B504,'案件カード'!$C$3),"")</f>
        <v/>
      </c>
      <c r="O504" s="91">
        <f>IF(ISNUMBER(K504),IF(B504="",K504,IF(AND(ISNUMBER(MATCH(B504,'案件'!$A$6:$A$105,0)),OR(D504="材料費",D504="労務費",D504="外注費",D504="経費")),0,K504)),0)</f>
        <v/>
      </c>
    </row>
    <row r="505" ht="16" customHeight="1">
      <c r="A505" s="35" t="n"/>
      <c r="B505" s="36" t="n"/>
      <c r="C505" s="37">
        <f>IF(B505="","",IFERROR(INDEX('案件'!$B$6:$B$105,MATCH(B505,'案件'!$A$6:$A$105,0))&amp;"","（案件シートに無い番号）"))</f>
        <v/>
      </c>
      <c r="D505" s="36" t="n"/>
      <c r="E505" s="38" t="n"/>
      <c r="F505" s="39" t="n"/>
      <c r="G505" s="36" t="n"/>
      <c r="H505" s="40" t="n"/>
      <c r="I505" s="40" t="n"/>
      <c r="J505" s="41">
        <f>IF(ISNUMBER(H505),H505,IF(AND(D505="労務費",TRIM(E505)&lt;&gt;""),IFERROR(INDEX('設定'!$G$12:$G$31,MATCH(TRIM(E505),'設定'!$J$12:$J$31,0)),""),""))</f>
        <v/>
      </c>
      <c r="K505" s="30">
        <f>IF(AND(ISNUMBER(F505),ISNUMBER(J505)),ROUND(F505*J505,0),IF(ISNUMBER(I505),I505,""))</f>
        <v/>
      </c>
      <c r="L505" s="33" t="n"/>
      <c r="M505" s="34">
        <f>IF(COUNTA(A505:B505,D505:I505,L505)=0,"",IF(B505="","案件番号がありません",IF(ISNA(MATCH(B505,'案件'!$A$6:$A$105,0)),"案件シートに無い番号です",IF(NOT(OR(D505="材料費",D505="労務費",D505="外注費",D505="経費")),"費目を4つから選んでください",IF(K505="",IF(AND(ISNUMBER(F505),NOT(ISNUMBER(J505))),IF(D505="労務費","単価がありません（設定の作業者名と同じ書き方に）","単価がありません"),IF(AND(ISNUMBER(J505),NOT(ISNUMBER(F505))),"数量がありません","金額がありません")),IF(NOT(ISNUMBER(A505)),"日付がありません（月別集計に入りません）",IF(AND(ISNUMBER(F505),ISNUMBER(J505),ISNUMBER(I505)),"数量×単価を使いました（金額の欄は使っていません）","")))))))</f>
        <v/>
      </c>
      <c r="N505" s="91">
        <f>IF(AND(B505&lt;&gt;"",B505='案件カード'!$C$3),COUNTIF($B$5:B505,'案件カード'!$C$3),"")</f>
        <v/>
      </c>
      <c r="O505" s="91">
        <f>IF(ISNUMBER(K505),IF(B505="",K505,IF(AND(ISNUMBER(MATCH(B505,'案件'!$A$6:$A$105,0)),OR(D505="材料費",D505="労務費",D505="外注費",D505="経費")),0,K505)),0)</f>
        <v/>
      </c>
    </row>
    <row r="506" ht="16" customHeight="1">
      <c r="A506" s="35" t="n"/>
      <c r="B506" s="36" t="n"/>
      <c r="C506" s="37">
        <f>IF(B506="","",IFERROR(INDEX('案件'!$B$6:$B$105,MATCH(B506,'案件'!$A$6:$A$105,0))&amp;"","（案件シートに無い番号）"))</f>
        <v/>
      </c>
      <c r="D506" s="36" t="n"/>
      <c r="E506" s="38" t="n"/>
      <c r="F506" s="39" t="n"/>
      <c r="G506" s="36" t="n"/>
      <c r="H506" s="40" t="n"/>
      <c r="I506" s="40" t="n"/>
      <c r="J506" s="41">
        <f>IF(ISNUMBER(H506),H506,IF(AND(D506="労務費",TRIM(E506)&lt;&gt;""),IFERROR(INDEX('設定'!$G$12:$G$31,MATCH(TRIM(E506),'設定'!$J$12:$J$31,0)),""),""))</f>
        <v/>
      </c>
      <c r="K506" s="30">
        <f>IF(AND(ISNUMBER(F506),ISNUMBER(J506)),ROUND(F506*J506,0),IF(ISNUMBER(I506),I506,""))</f>
        <v/>
      </c>
      <c r="L506" s="33" t="n"/>
      <c r="M506" s="34">
        <f>IF(COUNTA(A506:B506,D506:I506,L506)=0,"",IF(B506="","案件番号がありません",IF(ISNA(MATCH(B506,'案件'!$A$6:$A$105,0)),"案件シートに無い番号です",IF(NOT(OR(D506="材料費",D506="労務費",D506="外注費",D506="経費")),"費目を4つから選んでください",IF(K506="",IF(AND(ISNUMBER(F506),NOT(ISNUMBER(J506))),IF(D506="労務費","単価がありません（設定の作業者名と同じ書き方に）","単価がありません"),IF(AND(ISNUMBER(J506),NOT(ISNUMBER(F506))),"数量がありません","金額がありません")),IF(NOT(ISNUMBER(A506)),"日付がありません（月別集計に入りません）",IF(AND(ISNUMBER(F506),ISNUMBER(J506),ISNUMBER(I506)),"数量×単価を使いました（金額の欄は使っていません）","")))))))</f>
        <v/>
      </c>
      <c r="N506" s="91">
        <f>IF(AND(B506&lt;&gt;"",B506='案件カード'!$C$3),COUNTIF($B$5:B506,'案件カード'!$C$3),"")</f>
        <v/>
      </c>
      <c r="O506" s="91">
        <f>IF(ISNUMBER(K506),IF(B506="",K506,IF(AND(ISNUMBER(MATCH(B506,'案件'!$A$6:$A$105,0)),OR(D506="材料費",D506="労務費",D506="外注費",D506="経費")),0,K506)),0)</f>
        <v/>
      </c>
    </row>
    <row r="507" ht="16" customHeight="1">
      <c r="A507" s="35" t="n"/>
      <c r="B507" s="36" t="n"/>
      <c r="C507" s="37">
        <f>IF(B507="","",IFERROR(INDEX('案件'!$B$6:$B$105,MATCH(B507,'案件'!$A$6:$A$105,0))&amp;"","（案件シートに無い番号）"))</f>
        <v/>
      </c>
      <c r="D507" s="36" t="n"/>
      <c r="E507" s="38" t="n"/>
      <c r="F507" s="39" t="n"/>
      <c r="G507" s="36" t="n"/>
      <c r="H507" s="40" t="n"/>
      <c r="I507" s="40" t="n"/>
      <c r="J507" s="41">
        <f>IF(ISNUMBER(H507),H507,IF(AND(D507="労務費",TRIM(E507)&lt;&gt;""),IFERROR(INDEX('設定'!$G$12:$G$31,MATCH(TRIM(E507),'設定'!$J$12:$J$31,0)),""),""))</f>
        <v/>
      </c>
      <c r="K507" s="30">
        <f>IF(AND(ISNUMBER(F507),ISNUMBER(J507)),ROUND(F507*J507,0),IF(ISNUMBER(I507),I507,""))</f>
        <v/>
      </c>
      <c r="L507" s="33" t="n"/>
      <c r="M507" s="34">
        <f>IF(COUNTA(A507:B507,D507:I507,L507)=0,"",IF(B507="","案件番号がありません",IF(ISNA(MATCH(B507,'案件'!$A$6:$A$105,0)),"案件シートに無い番号です",IF(NOT(OR(D507="材料費",D507="労務費",D507="外注費",D507="経費")),"費目を4つから選んでください",IF(K507="",IF(AND(ISNUMBER(F507),NOT(ISNUMBER(J507))),IF(D507="労務費","単価がありません（設定の作業者名と同じ書き方に）","単価がありません"),IF(AND(ISNUMBER(J507),NOT(ISNUMBER(F507))),"数量がありません","金額がありません")),IF(NOT(ISNUMBER(A507)),"日付がありません（月別集計に入りません）",IF(AND(ISNUMBER(F507),ISNUMBER(J507),ISNUMBER(I507)),"数量×単価を使いました（金額の欄は使っていません）","")))))))</f>
        <v/>
      </c>
      <c r="N507" s="91">
        <f>IF(AND(B507&lt;&gt;"",B507='案件カード'!$C$3),COUNTIF($B$5:B507,'案件カード'!$C$3),"")</f>
        <v/>
      </c>
      <c r="O507" s="91">
        <f>IF(ISNUMBER(K507),IF(B507="",K507,IF(AND(ISNUMBER(MATCH(B507,'案件'!$A$6:$A$105,0)),OR(D507="材料費",D507="労務費",D507="外注費",D507="経費")),0,K507)),0)</f>
        <v/>
      </c>
    </row>
    <row r="508" ht="16" customHeight="1">
      <c r="A508" s="35" t="n"/>
      <c r="B508" s="36" t="n"/>
      <c r="C508" s="37">
        <f>IF(B508="","",IFERROR(INDEX('案件'!$B$6:$B$105,MATCH(B508,'案件'!$A$6:$A$105,0))&amp;"","（案件シートに無い番号）"))</f>
        <v/>
      </c>
      <c r="D508" s="36" t="n"/>
      <c r="E508" s="38" t="n"/>
      <c r="F508" s="39" t="n"/>
      <c r="G508" s="36" t="n"/>
      <c r="H508" s="40" t="n"/>
      <c r="I508" s="40" t="n"/>
      <c r="J508" s="41">
        <f>IF(ISNUMBER(H508),H508,IF(AND(D508="労務費",TRIM(E508)&lt;&gt;""),IFERROR(INDEX('設定'!$G$12:$G$31,MATCH(TRIM(E508),'設定'!$J$12:$J$31,0)),""),""))</f>
        <v/>
      </c>
      <c r="K508" s="30">
        <f>IF(AND(ISNUMBER(F508),ISNUMBER(J508)),ROUND(F508*J508,0),IF(ISNUMBER(I508),I508,""))</f>
        <v/>
      </c>
      <c r="L508" s="33" t="n"/>
      <c r="M508" s="34">
        <f>IF(COUNTA(A508:B508,D508:I508,L508)=0,"",IF(B508="","案件番号がありません",IF(ISNA(MATCH(B508,'案件'!$A$6:$A$105,0)),"案件シートに無い番号です",IF(NOT(OR(D508="材料費",D508="労務費",D508="外注費",D508="経費")),"費目を4つから選んでください",IF(K508="",IF(AND(ISNUMBER(F508),NOT(ISNUMBER(J508))),IF(D508="労務費","単価がありません（設定の作業者名と同じ書き方に）","単価がありません"),IF(AND(ISNUMBER(J508),NOT(ISNUMBER(F508))),"数量がありません","金額がありません")),IF(NOT(ISNUMBER(A508)),"日付がありません（月別集計に入りません）",IF(AND(ISNUMBER(F508),ISNUMBER(J508),ISNUMBER(I508)),"数量×単価を使いました（金額の欄は使っていません）","")))))))</f>
        <v/>
      </c>
      <c r="N508" s="91">
        <f>IF(AND(B508&lt;&gt;"",B508='案件カード'!$C$3),COUNTIF($B$5:B508,'案件カード'!$C$3),"")</f>
        <v/>
      </c>
      <c r="O508" s="91">
        <f>IF(ISNUMBER(K508),IF(B508="",K508,IF(AND(ISNUMBER(MATCH(B508,'案件'!$A$6:$A$105,0)),OR(D508="材料費",D508="労務費",D508="外注費",D508="経費")),0,K508)),0)</f>
        <v/>
      </c>
    </row>
    <row r="509" ht="16" customHeight="1">
      <c r="A509" s="35" t="n"/>
      <c r="B509" s="36" t="n"/>
      <c r="C509" s="37">
        <f>IF(B509="","",IFERROR(INDEX('案件'!$B$6:$B$105,MATCH(B509,'案件'!$A$6:$A$105,0))&amp;"","（案件シートに無い番号）"))</f>
        <v/>
      </c>
      <c r="D509" s="36" t="n"/>
      <c r="E509" s="38" t="n"/>
      <c r="F509" s="39" t="n"/>
      <c r="G509" s="36" t="n"/>
      <c r="H509" s="40" t="n"/>
      <c r="I509" s="40" t="n"/>
      <c r="J509" s="41">
        <f>IF(ISNUMBER(H509),H509,IF(AND(D509="労務費",TRIM(E509)&lt;&gt;""),IFERROR(INDEX('設定'!$G$12:$G$31,MATCH(TRIM(E509),'設定'!$J$12:$J$31,0)),""),""))</f>
        <v/>
      </c>
      <c r="K509" s="30">
        <f>IF(AND(ISNUMBER(F509),ISNUMBER(J509)),ROUND(F509*J509,0),IF(ISNUMBER(I509),I509,""))</f>
        <v/>
      </c>
      <c r="L509" s="33" t="n"/>
      <c r="M509" s="34">
        <f>IF(COUNTA(A509:B509,D509:I509,L509)=0,"",IF(B509="","案件番号がありません",IF(ISNA(MATCH(B509,'案件'!$A$6:$A$105,0)),"案件シートに無い番号です",IF(NOT(OR(D509="材料費",D509="労務費",D509="外注費",D509="経費")),"費目を4つから選んでください",IF(K509="",IF(AND(ISNUMBER(F509),NOT(ISNUMBER(J509))),IF(D509="労務費","単価がありません（設定の作業者名と同じ書き方に）","単価がありません"),IF(AND(ISNUMBER(J509),NOT(ISNUMBER(F509))),"数量がありません","金額がありません")),IF(NOT(ISNUMBER(A509)),"日付がありません（月別集計に入りません）",IF(AND(ISNUMBER(F509),ISNUMBER(J509),ISNUMBER(I509)),"数量×単価を使いました（金額の欄は使っていません）","")))))))</f>
        <v/>
      </c>
      <c r="N509" s="91">
        <f>IF(AND(B509&lt;&gt;"",B509='案件カード'!$C$3),COUNTIF($B$5:B509,'案件カード'!$C$3),"")</f>
        <v/>
      </c>
      <c r="O509" s="91">
        <f>IF(ISNUMBER(K509),IF(B509="",K509,IF(AND(ISNUMBER(MATCH(B509,'案件'!$A$6:$A$105,0)),OR(D509="材料費",D509="労務費",D509="外注費",D509="経費")),0,K509)),0)</f>
        <v/>
      </c>
    </row>
    <row r="510" ht="16" customHeight="1">
      <c r="A510" s="35" t="n"/>
      <c r="B510" s="36" t="n"/>
      <c r="C510" s="37">
        <f>IF(B510="","",IFERROR(INDEX('案件'!$B$6:$B$105,MATCH(B510,'案件'!$A$6:$A$105,0))&amp;"","（案件シートに無い番号）"))</f>
        <v/>
      </c>
      <c r="D510" s="36" t="n"/>
      <c r="E510" s="38" t="n"/>
      <c r="F510" s="39" t="n"/>
      <c r="G510" s="36" t="n"/>
      <c r="H510" s="40" t="n"/>
      <c r="I510" s="40" t="n"/>
      <c r="J510" s="41">
        <f>IF(ISNUMBER(H510),H510,IF(AND(D510="労務費",TRIM(E510)&lt;&gt;""),IFERROR(INDEX('設定'!$G$12:$G$31,MATCH(TRIM(E510),'設定'!$J$12:$J$31,0)),""),""))</f>
        <v/>
      </c>
      <c r="K510" s="30">
        <f>IF(AND(ISNUMBER(F510),ISNUMBER(J510)),ROUND(F510*J510,0),IF(ISNUMBER(I510),I510,""))</f>
        <v/>
      </c>
      <c r="L510" s="33" t="n"/>
      <c r="M510" s="34">
        <f>IF(COUNTA(A510:B510,D510:I510,L510)=0,"",IF(B510="","案件番号がありません",IF(ISNA(MATCH(B510,'案件'!$A$6:$A$105,0)),"案件シートに無い番号です",IF(NOT(OR(D510="材料費",D510="労務費",D510="外注費",D510="経費")),"費目を4つから選んでください",IF(K510="",IF(AND(ISNUMBER(F510),NOT(ISNUMBER(J510))),IF(D510="労務費","単価がありません（設定の作業者名と同じ書き方に）","単価がありません"),IF(AND(ISNUMBER(J510),NOT(ISNUMBER(F510))),"数量がありません","金額がありません")),IF(NOT(ISNUMBER(A510)),"日付がありません（月別集計に入りません）",IF(AND(ISNUMBER(F510),ISNUMBER(J510),ISNUMBER(I510)),"数量×単価を使いました（金額の欄は使っていません）","")))))))</f>
        <v/>
      </c>
      <c r="N510" s="91">
        <f>IF(AND(B510&lt;&gt;"",B510='案件カード'!$C$3),COUNTIF($B$5:B510,'案件カード'!$C$3),"")</f>
        <v/>
      </c>
      <c r="O510" s="91">
        <f>IF(ISNUMBER(K510),IF(B510="",K510,IF(AND(ISNUMBER(MATCH(B510,'案件'!$A$6:$A$105,0)),OR(D510="材料費",D510="労務費",D510="外注費",D510="経費")),0,K510)),0)</f>
        <v/>
      </c>
    </row>
    <row r="511" ht="16" customHeight="1">
      <c r="A511" s="35" t="n"/>
      <c r="B511" s="36" t="n"/>
      <c r="C511" s="37">
        <f>IF(B511="","",IFERROR(INDEX('案件'!$B$6:$B$105,MATCH(B511,'案件'!$A$6:$A$105,0))&amp;"","（案件シートに無い番号）"))</f>
        <v/>
      </c>
      <c r="D511" s="36" t="n"/>
      <c r="E511" s="38" t="n"/>
      <c r="F511" s="39" t="n"/>
      <c r="G511" s="36" t="n"/>
      <c r="H511" s="40" t="n"/>
      <c r="I511" s="40" t="n"/>
      <c r="J511" s="41">
        <f>IF(ISNUMBER(H511),H511,IF(AND(D511="労務費",TRIM(E511)&lt;&gt;""),IFERROR(INDEX('設定'!$G$12:$G$31,MATCH(TRIM(E511),'設定'!$J$12:$J$31,0)),""),""))</f>
        <v/>
      </c>
      <c r="K511" s="30">
        <f>IF(AND(ISNUMBER(F511),ISNUMBER(J511)),ROUND(F511*J511,0),IF(ISNUMBER(I511),I511,""))</f>
        <v/>
      </c>
      <c r="L511" s="33" t="n"/>
      <c r="M511" s="34">
        <f>IF(COUNTA(A511:B511,D511:I511,L511)=0,"",IF(B511="","案件番号がありません",IF(ISNA(MATCH(B511,'案件'!$A$6:$A$105,0)),"案件シートに無い番号です",IF(NOT(OR(D511="材料費",D511="労務費",D511="外注費",D511="経費")),"費目を4つから選んでください",IF(K511="",IF(AND(ISNUMBER(F511),NOT(ISNUMBER(J511))),IF(D511="労務費","単価がありません（設定の作業者名と同じ書き方に）","単価がありません"),IF(AND(ISNUMBER(J511),NOT(ISNUMBER(F511))),"数量がありません","金額がありません")),IF(NOT(ISNUMBER(A511)),"日付がありません（月別集計に入りません）",IF(AND(ISNUMBER(F511),ISNUMBER(J511),ISNUMBER(I511)),"数量×単価を使いました（金額の欄は使っていません）","")))))))</f>
        <v/>
      </c>
      <c r="N511" s="91">
        <f>IF(AND(B511&lt;&gt;"",B511='案件カード'!$C$3),COUNTIF($B$5:B511,'案件カード'!$C$3),"")</f>
        <v/>
      </c>
      <c r="O511" s="91">
        <f>IF(ISNUMBER(K511),IF(B511="",K511,IF(AND(ISNUMBER(MATCH(B511,'案件'!$A$6:$A$105,0)),OR(D511="材料費",D511="労務費",D511="外注費",D511="経費")),0,K511)),0)</f>
        <v/>
      </c>
    </row>
    <row r="512" ht="16" customHeight="1">
      <c r="A512" s="35" t="n"/>
      <c r="B512" s="36" t="n"/>
      <c r="C512" s="37">
        <f>IF(B512="","",IFERROR(INDEX('案件'!$B$6:$B$105,MATCH(B512,'案件'!$A$6:$A$105,0))&amp;"","（案件シートに無い番号）"))</f>
        <v/>
      </c>
      <c r="D512" s="36" t="n"/>
      <c r="E512" s="38" t="n"/>
      <c r="F512" s="39" t="n"/>
      <c r="G512" s="36" t="n"/>
      <c r="H512" s="40" t="n"/>
      <c r="I512" s="40" t="n"/>
      <c r="J512" s="41">
        <f>IF(ISNUMBER(H512),H512,IF(AND(D512="労務費",TRIM(E512)&lt;&gt;""),IFERROR(INDEX('設定'!$G$12:$G$31,MATCH(TRIM(E512),'設定'!$J$12:$J$31,0)),""),""))</f>
        <v/>
      </c>
      <c r="K512" s="30">
        <f>IF(AND(ISNUMBER(F512),ISNUMBER(J512)),ROUND(F512*J512,0),IF(ISNUMBER(I512),I512,""))</f>
        <v/>
      </c>
      <c r="L512" s="33" t="n"/>
      <c r="M512" s="34">
        <f>IF(COUNTA(A512:B512,D512:I512,L512)=0,"",IF(B512="","案件番号がありません",IF(ISNA(MATCH(B512,'案件'!$A$6:$A$105,0)),"案件シートに無い番号です",IF(NOT(OR(D512="材料費",D512="労務費",D512="外注費",D512="経費")),"費目を4つから選んでください",IF(K512="",IF(AND(ISNUMBER(F512),NOT(ISNUMBER(J512))),IF(D512="労務費","単価がありません（設定の作業者名と同じ書き方に）","単価がありません"),IF(AND(ISNUMBER(J512),NOT(ISNUMBER(F512))),"数量がありません","金額がありません")),IF(NOT(ISNUMBER(A512)),"日付がありません（月別集計に入りません）",IF(AND(ISNUMBER(F512),ISNUMBER(J512),ISNUMBER(I512)),"数量×単価を使いました（金額の欄は使っていません）","")))))))</f>
        <v/>
      </c>
      <c r="N512" s="91">
        <f>IF(AND(B512&lt;&gt;"",B512='案件カード'!$C$3),COUNTIF($B$5:B512,'案件カード'!$C$3),"")</f>
        <v/>
      </c>
      <c r="O512" s="91">
        <f>IF(ISNUMBER(K512),IF(B512="",K512,IF(AND(ISNUMBER(MATCH(B512,'案件'!$A$6:$A$105,0)),OR(D512="材料費",D512="労務費",D512="外注費",D512="経費")),0,K512)),0)</f>
        <v/>
      </c>
    </row>
    <row r="513" ht="16" customHeight="1">
      <c r="A513" s="35" t="n"/>
      <c r="B513" s="36" t="n"/>
      <c r="C513" s="37">
        <f>IF(B513="","",IFERROR(INDEX('案件'!$B$6:$B$105,MATCH(B513,'案件'!$A$6:$A$105,0))&amp;"","（案件シートに無い番号）"))</f>
        <v/>
      </c>
      <c r="D513" s="36" t="n"/>
      <c r="E513" s="38" t="n"/>
      <c r="F513" s="39" t="n"/>
      <c r="G513" s="36" t="n"/>
      <c r="H513" s="40" t="n"/>
      <c r="I513" s="40" t="n"/>
      <c r="J513" s="41">
        <f>IF(ISNUMBER(H513),H513,IF(AND(D513="労務費",TRIM(E513)&lt;&gt;""),IFERROR(INDEX('設定'!$G$12:$G$31,MATCH(TRIM(E513),'設定'!$J$12:$J$31,0)),""),""))</f>
        <v/>
      </c>
      <c r="K513" s="30">
        <f>IF(AND(ISNUMBER(F513),ISNUMBER(J513)),ROUND(F513*J513,0),IF(ISNUMBER(I513),I513,""))</f>
        <v/>
      </c>
      <c r="L513" s="33" t="n"/>
      <c r="M513" s="34">
        <f>IF(COUNTA(A513:B513,D513:I513,L513)=0,"",IF(B513="","案件番号がありません",IF(ISNA(MATCH(B513,'案件'!$A$6:$A$105,0)),"案件シートに無い番号です",IF(NOT(OR(D513="材料費",D513="労務費",D513="外注費",D513="経費")),"費目を4つから選んでください",IF(K513="",IF(AND(ISNUMBER(F513),NOT(ISNUMBER(J513))),IF(D513="労務費","単価がありません（設定の作業者名と同じ書き方に）","単価がありません"),IF(AND(ISNUMBER(J513),NOT(ISNUMBER(F513))),"数量がありません","金額がありません")),IF(NOT(ISNUMBER(A513)),"日付がありません（月別集計に入りません）",IF(AND(ISNUMBER(F513),ISNUMBER(J513),ISNUMBER(I513)),"数量×単価を使いました（金額の欄は使っていません）","")))))))</f>
        <v/>
      </c>
      <c r="N513" s="91">
        <f>IF(AND(B513&lt;&gt;"",B513='案件カード'!$C$3),COUNTIF($B$5:B513,'案件カード'!$C$3),"")</f>
        <v/>
      </c>
      <c r="O513" s="91">
        <f>IF(ISNUMBER(K513),IF(B513="",K513,IF(AND(ISNUMBER(MATCH(B513,'案件'!$A$6:$A$105,0)),OR(D513="材料費",D513="労務費",D513="外注費",D513="経費")),0,K513)),0)</f>
        <v/>
      </c>
    </row>
    <row r="514" ht="16" customHeight="1">
      <c r="A514" s="35" t="n"/>
      <c r="B514" s="36" t="n"/>
      <c r="C514" s="37">
        <f>IF(B514="","",IFERROR(INDEX('案件'!$B$6:$B$105,MATCH(B514,'案件'!$A$6:$A$105,0))&amp;"","（案件シートに無い番号）"))</f>
        <v/>
      </c>
      <c r="D514" s="36" t="n"/>
      <c r="E514" s="38" t="n"/>
      <c r="F514" s="39" t="n"/>
      <c r="G514" s="36" t="n"/>
      <c r="H514" s="40" t="n"/>
      <c r="I514" s="40" t="n"/>
      <c r="J514" s="41">
        <f>IF(ISNUMBER(H514),H514,IF(AND(D514="労務費",TRIM(E514)&lt;&gt;""),IFERROR(INDEX('設定'!$G$12:$G$31,MATCH(TRIM(E514),'設定'!$J$12:$J$31,0)),""),""))</f>
        <v/>
      </c>
      <c r="K514" s="30">
        <f>IF(AND(ISNUMBER(F514),ISNUMBER(J514)),ROUND(F514*J514,0),IF(ISNUMBER(I514),I514,""))</f>
        <v/>
      </c>
      <c r="L514" s="33" t="n"/>
      <c r="M514" s="34">
        <f>IF(COUNTA(A514:B514,D514:I514,L514)=0,"",IF(B514="","案件番号がありません",IF(ISNA(MATCH(B514,'案件'!$A$6:$A$105,0)),"案件シートに無い番号です",IF(NOT(OR(D514="材料費",D514="労務費",D514="外注費",D514="経費")),"費目を4つから選んでください",IF(K514="",IF(AND(ISNUMBER(F514),NOT(ISNUMBER(J514))),IF(D514="労務費","単価がありません（設定の作業者名と同じ書き方に）","単価がありません"),IF(AND(ISNUMBER(J514),NOT(ISNUMBER(F514))),"数量がありません","金額がありません")),IF(NOT(ISNUMBER(A514)),"日付がありません（月別集計に入りません）",IF(AND(ISNUMBER(F514),ISNUMBER(J514),ISNUMBER(I514)),"数量×単価を使いました（金額の欄は使っていません）","")))))))</f>
        <v/>
      </c>
      <c r="N514" s="91">
        <f>IF(AND(B514&lt;&gt;"",B514='案件カード'!$C$3),COUNTIF($B$5:B514,'案件カード'!$C$3),"")</f>
        <v/>
      </c>
      <c r="O514" s="91">
        <f>IF(ISNUMBER(K514),IF(B514="",K514,IF(AND(ISNUMBER(MATCH(B514,'案件'!$A$6:$A$105,0)),OR(D514="材料費",D514="労務費",D514="外注費",D514="経費")),0,K514)),0)</f>
        <v/>
      </c>
    </row>
    <row r="515" ht="16" customHeight="1">
      <c r="A515" s="35" t="n"/>
      <c r="B515" s="36" t="n"/>
      <c r="C515" s="37">
        <f>IF(B515="","",IFERROR(INDEX('案件'!$B$6:$B$105,MATCH(B515,'案件'!$A$6:$A$105,0))&amp;"","（案件シートに無い番号）"))</f>
        <v/>
      </c>
      <c r="D515" s="36" t="n"/>
      <c r="E515" s="38" t="n"/>
      <c r="F515" s="39" t="n"/>
      <c r="G515" s="36" t="n"/>
      <c r="H515" s="40" t="n"/>
      <c r="I515" s="40" t="n"/>
      <c r="J515" s="41">
        <f>IF(ISNUMBER(H515),H515,IF(AND(D515="労務費",TRIM(E515)&lt;&gt;""),IFERROR(INDEX('設定'!$G$12:$G$31,MATCH(TRIM(E515),'設定'!$J$12:$J$31,0)),""),""))</f>
        <v/>
      </c>
      <c r="K515" s="30">
        <f>IF(AND(ISNUMBER(F515),ISNUMBER(J515)),ROUND(F515*J515,0),IF(ISNUMBER(I515),I515,""))</f>
        <v/>
      </c>
      <c r="L515" s="33" t="n"/>
      <c r="M515" s="34">
        <f>IF(COUNTA(A515:B515,D515:I515,L515)=0,"",IF(B515="","案件番号がありません",IF(ISNA(MATCH(B515,'案件'!$A$6:$A$105,0)),"案件シートに無い番号です",IF(NOT(OR(D515="材料費",D515="労務費",D515="外注費",D515="経費")),"費目を4つから選んでください",IF(K515="",IF(AND(ISNUMBER(F515),NOT(ISNUMBER(J515))),IF(D515="労務費","単価がありません（設定の作業者名と同じ書き方に）","単価がありません"),IF(AND(ISNUMBER(J515),NOT(ISNUMBER(F515))),"数量がありません","金額がありません")),IF(NOT(ISNUMBER(A515)),"日付がありません（月別集計に入りません）",IF(AND(ISNUMBER(F515),ISNUMBER(J515),ISNUMBER(I515)),"数量×単価を使いました（金額の欄は使っていません）","")))))))</f>
        <v/>
      </c>
      <c r="N515" s="91">
        <f>IF(AND(B515&lt;&gt;"",B515='案件カード'!$C$3),COUNTIF($B$5:B515,'案件カード'!$C$3),"")</f>
        <v/>
      </c>
      <c r="O515" s="91">
        <f>IF(ISNUMBER(K515),IF(B515="",K515,IF(AND(ISNUMBER(MATCH(B515,'案件'!$A$6:$A$105,0)),OR(D515="材料費",D515="労務費",D515="外注費",D515="経費")),0,K515)),0)</f>
        <v/>
      </c>
    </row>
    <row r="516" ht="16" customHeight="1">
      <c r="A516" s="35" t="n"/>
      <c r="B516" s="36" t="n"/>
      <c r="C516" s="37">
        <f>IF(B516="","",IFERROR(INDEX('案件'!$B$6:$B$105,MATCH(B516,'案件'!$A$6:$A$105,0))&amp;"","（案件シートに無い番号）"))</f>
        <v/>
      </c>
      <c r="D516" s="36" t="n"/>
      <c r="E516" s="38" t="n"/>
      <c r="F516" s="39" t="n"/>
      <c r="G516" s="36" t="n"/>
      <c r="H516" s="40" t="n"/>
      <c r="I516" s="40" t="n"/>
      <c r="J516" s="41">
        <f>IF(ISNUMBER(H516),H516,IF(AND(D516="労務費",TRIM(E516)&lt;&gt;""),IFERROR(INDEX('設定'!$G$12:$G$31,MATCH(TRIM(E516),'設定'!$J$12:$J$31,0)),""),""))</f>
        <v/>
      </c>
      <c r="K516" s="30">
        <f>IF(AND(ISNUMBER(F516),ISNUMBER(J516)),ROUND(F516*J516,0),IF(ISNUMBER(I516),I516,""))</f>
        <v/>
      </c>
      <c r="L516" s="33" t="n"/>
      <c r="M516" s="34">
        <f>IF(COUNTA(A516:B516,D516:I516,L516)=0,"",IF(B516="","案件番号がありません",IF(ISNA(MATCH(B516,'案件'!$A$6:$A$105,0)),"案件シートに無い番号です",IF(NOT(OR(D516="材料費",D516="労務費",D516="外注費",D516="経費")),"費目を4つから選んでください",IF(K516="",IF(AND(ISNUMBER(F516),NOT(ISNUMBER(J516))),IF(D516="労務費","単価がありません（設定の作業者名と同じ書き方に）","単価がありません"),IF(AND(ISNUMBER(J516),NOT(ISNUMBER(F516))),"数量がありません","金額がありません")),IF(NOT(ISNUMBER(A516)),"日付がありません（月別集計に入りません）",IF(AND(ISNUMBER(F516),ISNUMBER(J516),ISNUMBER(I516)),"数量×単価を使いました（金額の欄は使っていません）","")))))))</f>
        <v/>
      </c>
      <c r="N516" s="91">
        <f>IF(AND(B516&lt;&gt;"",B516='案件カード'!$C$3),COUNTIF($B$5:B516,'案件カード'!$C$3),"")</f>
        <v/>
      </c>
      <c r="O516" s="91">
        <f>IF(ISNUMBER(K516),IF(B516="",K516,IF(AND(ISNUMBER(MATCH(B516,'案件'!$A$6:$A$105,0)),OR(D516="材料費",D516="労務費",D516="外注費",D516="経費")),0,K516)),0)</f>
        <v/>
      </c>
    </row>
    <row r="517" ht="16" customHeight="1">
      <c r="A517" s="35" t="n"/>
      <c r="B517" s="36" t="n"/>
      <c r="C517" s="37">
        <f>IF(B517="","",IFERROR(INDEX('案件'!$B$6:$B$105,MATCH(B517,'案件'!$A$6:$A$105,0))&amp;"","（案件シートに無い番号）"))</f>
        <v/>
      </c>
      <c r="D517" s="36" t="n"/>
      <c r="E517" s="38" t="n"/>
      <c r="F517" s="39" t="n"/>
      <c r="G517" s="36" t="n"/>
      <c r="H517" s="40" t="n"/>
      <c r="I517" s="40" t="n"/>
      <c r="J517" s="41">
        <f>IF(ISNUMBER(H517),H517,IF(AND(D517="労務費",TRIM(E517)&lt;&gt;""),IFERROR(INDEX('設定'!$G$12:$G$31,MATCH(TRIM(E517),'設定'!$J$12:$J$31,0)),""),""))</f>
        <v/>
      </c>
      <c r="K517" s="30">
        <f>IF(AND(ISNUMBER(F517),ISNUMBER(J517)),ROUND(F517*J517,0),IF(ISNUMBER(I517),I517,""))</f>
        <v/>
      </c>
      <c r="L517" s="33" t="n"/>
      <c r="M517" s="34">
        <f>IF(COUNTA(A517:B517,D517:I517,L517)=0,"",IF(B517="","案件番号がありません",IF(ISNA(MATCH(B517,'案件'!$A$6:$A$105,0)),"案件シートに無い番号です",IF(NOT(OR(D517="材料費",D517="労務費",D517="外注費",D517="経費")),"費目を4つから選んでください",IF(K517="",IF(AND(ISNUMBER(F517),NOT(ISNUMBER(J517))),IF(D517="労務費","単価がありません（設定の作業者名と同じ書き方に）","単価がありません"),IF(AND(ISNUMBER(J517),NOT(ISNUMBER(F517))),"数量がありません","金額がありません")),IF(NOT(ISNUMBER(A517)),"日付がありません（月別集計に入りません）",IF(AND(ISNUMBER(F517),ISNUMBER(J517),ISNUMBER(I517)),"数量×単価を使いました（金額の欄は使っていません）","")))))))</f>
        <v/>
      </c>
      <c r="N517" s="91">
        <f>IF(AND(B517&lt;&gt;"",B517='案件カード'!$C$3),COUNTIF($B$5:B517,'案件カード'!$C$3),"")</f>
        <v/>
      </c>
      <c r="O517" s="91">
        <f>IF(ISNUMBER(K517),IF(B517="",K517,IF(AND(ISNUMBER(MATCH(B517,'案件'!$A$6:$A$105,0)),OR(D517="材料費",D517="労務費",D517="外注費",D517="経費")),0,K517)),0)</f>
        <v/>
      </c>
    </row>
    <row r="518" ht="16" customHeight="1">
      <c r="A518" s="35" t="n"/>
      <c r="B518" s="36" t="n"/>
      <c r="C518" s="37">
        <f>IF(B518="","",IFERROR(INDEX('案件'!$B$6:$B$105,MATCH(B518,'案件'!$A$6:$A$105,0))&amp;"","（案件シートに無い番号）"))</f>
        <v/>
      </c>
      <c r="D518" s="36" t="n"/>
      <c r="E518" s="38" t="n"/>
      <c r="F518" s="39" t="n"/>
      <c r="G518" s="36" t="n"/>
      <c r="H518" s="40" t="n"/>
      <c r="I518" s="40" t="n"/>
      <c r="J518" s="41">
        <f>IF(ISNUMBER(H518),H518,IF(AND(D518="労務費",TRIM(E518)&lt;&gt;""),IFERROR(INDEX('設定'!$G$12:$G$31,MATCH(TRIM(E518),'設定'!$J$12:$J$31,0)),""),""))</f>
        <v/>
      </c>
      <c r="K518" s="30">
        <f>IF(AND(ISNUMBER(F518),ISNUMBER(J518)),ROUND(F518*J518,0),IF(ISNUMBER(I518),I518,""))</f>
        <v/>
      </c>
      <c r="L518" s="33" t="n"/>
      <c r="M518" s="34">
        <f>IF(COUNTA(A518:B518,D518:I518,L518)=0,"",IF(B518="","案件番号がありません",IF(ISNA(MATCH(B518,'案件'!$A$6:$A$105,0)),"案件シートに無い番号です",IF(NOT(OR(D518="材料費",D518="労務費",D518="外注費",D518="経費")),"費目を4つから選んでください",IF(K518="",IF(AND(ISNUMBER(F518),NOT(ISNUMBER(J518))),IF(D518="労務費","単価がありません（設定の作業者名と同じ書き方に）","単価がありません"),IF(AND(ISNUMBER(J518),NOT(ISNUMBER(F518))),"数量がありません","金額がありません")),IF(NOT(ISNUMBER(A518)),"日付がありません（月別集計に入りません）",IF(AND(ISNUMBER(F518),ISNUMBER(J518),ISNUMBER(I518)),"数量×単価を使いました（金額の欄は使っていません）","")))))))</f>
        <v/>
      </c>
      <c r="N518" s="91">
        <f>IF(AND(B518&lt;&gt;"",B518='案件カード'!$C$3),COUNTIF($B$5:B518,'案件カード'!$C$3),"")</f>
        <v/>
      </c>
      <c r="O518" s="91">
        <f>IF(ISNUMBER(K518),IF(B518="",K518,IF(AND(ISNUMBER(MATCH(B518,'案件'!$A$6:$A$105,0)),OR(D518="材料費",D518="労務費",D518="外注費",D518="経費")),0,K518)),0)</f>
        <v/>
      </c>
    </row>
    <row r="519" ht="16" customHeight="1">
      <c r="A519" s="35" t="n"/>
      <c r="B519" s="36" t="n"/>
      <c r="C519" s="37">
        <f>IF(B519="","",IFERROR(INDEX('案件'!$B$6:$B$105,MATCH(B519,'案件'!$A$6:$A$105,0))&amp;"","（案件シートに無い番号）"))</f>
        <v/>
      </c>
      <c r="D519" s="36" t="n"/>
      <c r="E519" s="38" t="n"/>
      <c r="F519" s="39" t="n"/>
      <c r="G519" s="36" t="n"/>
      <c r="H519" s="40" t="n"/>
      <c r="I519" s="40" t="n"/>
      <c r="J519" s="41">
        <f>IF(ISNUMBER(H519),H519,IF(AND(D519="労務費",TRIM(E519)&lt;&gt;""),IFERROR(INDEX('設定'!$G$12:$G$31,MATCH(TRIM(E519),'設定'!$J$12:$J$31,0)),""),""))</f>
        <v/>
      </c>
      <c r="K519" s="30">
        <f>IF(AND(ISNUMBER(F519),ISNUMBER(J519)),ROUND(F519*J519,0),IF(ISNUMBER(I519),I519,""))</f>
        <v/>
      </c>
      <c r="L519" s="33" t="n"/>
      <c r="M519" s="34">
        <f>IF(COUNTA(A519:B519,D519:I519,L519)=0,"",IF(B519="","案件番号がありません",IF(ISNA(MATCH(B519,'案件'!$A$6:$A$105,0)),"案件シートに無い番号です",IF(NOT(OR(D519="材料費",D519="労務費",D519="外注費",D519="経費")),"費目を4つから選んでください",IF(K519="",IF(AND(ISNUMBER(F519),NOT(ISNUMBER(J519))),IF(D519="労務費","単価がありません（設定の作業者名と同じ書き方に）","単価がありません"),IF(AND(ISNUMBER(J519),NOT(ISNUMBER(F519))),"数量がありません","金額がありません")),IF(NOT(ISNUMBER(A519)),"日付がありません（月別集計に入りません）",IF(AND(ISNUMBER(F519),ISNUMBER(J519),ISNUMBER(I519)),"数量×単価を使いました（金額の欄は使っていません）","")))))))</f>
        <v/>
      </c>
      <c r="N519" s="91">
        <f>IF(AND(B519&lt;&gt;"",B519='案件カード'!$C$3),COUNTIF($B$5:B519,'案件カード'!$C$3),"")</f>
        <v/>
      </c>
      <c r="O519" s="91">
        <f>IF(ISNUMBER(K519),IF(B519="",K519,IF(AND(ISNUMBER(MATCH(B519,'案件'!$A$6:$A$105,0)),OR(D519="材料費",D519="労務費",D519="外注費",D519="経費")),0,K519)),0)</f>
        <v/>
      </c>
    </row>
    <row r="520" ht="16" customHeight="1">
      <c r="A520" s="35" t="n"/>
      <c r="B520" s="36" t="n"/>
      <c r="C520" s="37">
        <f>IF(B520="","",IFERROR(INDEX('案件'!$B$6:$B$105,MATCH(B520,'案件'!$A$6:$A$105,0))&amp;"","（案件シートに無い番号）"))</f>
        <v/>
      </c>
      <c r="D520" s="36" t="n"/>
      <c r="E520" s="38" t="n"/>
      <c r="F520" s="39" t="n"/>
      <c r="G520" s="36" t="n"/>
      <c r="H520" s="40" t="n"/>
      <c r="I520" s="40" t="n"/>
      <c r="J520" s="41">
        <f>IF(ISNUMBER(H520),H520,IF(AND(D520="労務費",TRIM(E520)&lt;&gt;""),IFERROR(INDEX('設定'!$G$12:$G$31,MATCH(TRIM(E520),'設定'!$J$12:$J$31,0)),""),""))</f>
        <v/>
      </c>
      <c r="K520" s="30">
        <f>IF(AND(ISNUMBER(F520),ISNUMBER(J520)),ROUND(F520*J520,0),IF(ISNUMBER(I520),I520,""))</f>
        <v/>
      </c>
      <c r="L520" s="33" t="n"/>
      <c r="M520" s="34">
        <f>IF(COUNTA(A520:B520,D520:I520,L520)=0,"",IF(B520="","案件番号がありません",IF(ISNA(MATCH(B520,'案件'!$A$6:$A$105,0)),"案件シートに無い番号です",IF(NOT(OR(D520="材料費",D520="労務費",D520="外注費",D520="経費")),"費目を4つから選んでください",IF(K520="",IF(AND(ISNUMBER(F520),NOT(ISNUMBER(J520))),IF(D520="労務費","単価がありません（設定の作業者名と同じ書き方に）","単価がありません"),IF(AND(ISNUMBER(J520),NOT(ISNUMBER(F520))),"数量がありません","金額がありません")),IF(NOT(ISNUMBER(A520)),"日付がありません（月別集計に入りません）",IF(AND(ISNUMBER(F520),ISNUMBER(J520),ISNUMBER(I520)),"数量×単価を使いました（金額の欄は使っていません）","")))))))</f>
        <v/>
      </c>
      <c r="N520" s="91">
        <f>IF(AND(B520&lt;&gt;"",B520='案件カード'!$C$3),COUNTIF($B$5:B520,'案件カード'!$C$3),"")</f>
        <v/>
      </c>
      <c r="O520" s="91">
        <f>IF(ISNUMBER(K520),IF(B520="",K520,IF(AND(ISNUMBER(MATCH(B520,'案件'!$A$6:$A$105,0)),OR(D520="材料費",D520="労務費",D520="外注費",D520="経費")),0,K520)),0)</f>
        <v/>
      </c>
    </row>
    <row r="521" ht="16" customHeight="1">
      <c r="A521" s="35" t="n"/>
      <c r="B521" s="36" t="n"/>
      <c r="C521" s="37">
        <f>IF(B521="","",IFERROR(INDEX('案件'!$B$6:$B$105,MATCH(B521,'案件'!$A$6:$A$105,0))&amp;"","（案件シートに無い番号）"))</f>
        <v/>
      </c>
      <c r="D521" s="36" t="n"/>
      <c r="E521" s="38" t="n"/>
      <c r="F521" s="39" t="n"/>
      <c r="G521" s="36" t="n"/>
      <c r="H521" s="40" t="n"/>
      <c r="I521" s="40" t="n"/>
      <c r="J521" s="41">
        <f>IF(ISNUMBER(H521),H521,IF(AND(D521="労務費",TRIM(E521)&lt;&gt;""),IFERROR(INDEX('設定'!$G$12:$G$31,MATCH(TRIM(E521),'設定'!$J$12:$J$31,0)),""),""))</f>
        <v/>
      </c>
      <c r="K521" s="30">
        <f>IF(AND(ISNUMBER(F521),ISNUMBER(J521)),ROUND(F521*J521,0),IF(ISNUMBER(I521),I521,""))</f>
        <v/>
      </c>
      <c r="L521" s="33" t="n"/>
      <c r="M521" s="34">
        <f>IF(COUNTA(A521:B521,D521:I521,L521)=0,"",IF(B521="","案件番号がありません",IF(ISNA(MATCH(B521,'案件'!$A$6:$A$105,0)),"案件シートに無い番号です",IF(NOT(OR(D521="材料費",D521="労務費",D521="外注費",D521="経費")),"費目を4つから選んでください",IF(K521="",IF(AND(ISNUMBER(F521),NOT(ISNUMBER(J521))),IF(D521="労務費","単価がありません（設定の作業者名と同じ書き方に）","単価がありません"),IF(AND(ISNUMBER(J521),NOT(ISNUMBER(F521))),"数量がありません","金額がありません")),IF(NOT(ISNUMBER(A521)),"日付がありません（月別集計に入りません）",IF(AND(ISNUMBER(F521),ISNUMBER(J521),ISNUMBER(I521)),"数量×単価を使いました（金額の欄は使っていません）","")))))))</f>
        <v/>
      </c>
      <c r="N521" s="91">
        <f>IF(AND(B521&lt;&gt;"",B521='案件カード'!$C$3),COUNTIF($B$5:B521,'案件カード'!$C$3),"")</f>
        <v/>
      </c>
      <c r="O521" s="91">
        <f>IF(ISNUMBER(K521),IF(B521="",K521,IF(AND(ISNUMBER(MATCH(B521,'案件'!$A$6:$A$105,0)),OR(D521="材料費",D521="労務費",D521="外注費",D521="経費")),0,K521)),0)</f>
        <v/>
      </c>
    </row>
    <row r="522" ht="16" customHeight="1">
      <c r="A522" s="35" t="n"/>
      <c r="B522" s="36" t="n"/>
      <c r="C522" s="37">
        <f>IF(B522="","",IFERROR(INDEX('案件'!$B$6:$B$105,MATCH(B522,'案件'!$A$6:$A$105,0))&amp;"","（案件シートに無い番号）"))</f>
        <v/>
      </c>
      <c r="D522" s="36" t="n"/>
      <c r="E522" s="38" t="n"/>
      <c r="F522" s="39" t="n"/>
      <c r="G522" s="36" t="n"/>
      <c r="H522" s="40" t="n"/>
      <c r="I522" s="40" t="n"/>
      <c r="J522" s="41">
        <f>IF(ISNUMBER(H522),H522,IF(AND(D522="労務費",TRIM(E522)&lt;&gt;""),IFERROR(INDEX('設定'!$G$12:$G$31,MATCH(TRIM(E522),'設定'!$J$12:$J$31,0)),""),""))</f>
        <v/>
      </c>
      <c r="K522" s="30">
        <f>IF(AND(ISNUMBER(F522),ISNUMBER(J522)),ROUND(F522*J522,0),IF(ISNUMBER(I522),I522,""))</f>
        <v/>
      </c>
      <c r="L522" s="33" t="n"/>
      <c r="M522" s="34">
        <f>IF(COUNTA(A522:B522,D522:I522,L522)=0,"",IF(B522="","案件番号がありません",IF(ISNA(MATCH(B522,'案件'!$A$6:$A$105,0)),"案件シートに無い番号です",IF(NOT(OR(D522="材料費",D522="労務費",D522="外注費",D522="経費")),"費目を4つから選んでください",IF(K522="",IF(AND(ISNUMBER(F522),NOT(ISNUMBER(J522))),IF(D522="労務費","単価がありません（設定の作業者名と同じ書き方に）","単価がありません"),IF(AND(ISNUMBER(J522),NOT(ISNUMBER(F522))),"数量がありません","金額がありません")),IF(NOT(ISNUMBER(A522)),"日付がありません（月別集計に入りません）",IF(AND(ISNUMBER(F522),ISNUMBER(J522),ISNUMBER(I522)),"数量×単価を使いました（金額の欄は使っていません）","")))))))</f>
        <v/>
      </c>
      <c r="N522" s="91">
        <f>IF(AND(B522&lt;&gt;"",B522='案件カード'!$C$3),COUNTIF($B$5:B522,'案件カード'!$C$3),"")</f>
        <v/>
      </c>
      <c r="O522" s="91">
        <f>IF(ISNUMBER(K522),IF(B522="",K522,IF(AND(ISNUMBER(MATCH(B522,'案件'!$A$6:$A$105,0)),OR(D522="材料費",D522="労務費",D522="外注費",D522="経費")),0,K522)),0)</f>
        <v/>
      </c>
    </row>
    <row r="523" ht="16" customHeight="1">
      <c r="A523" s="35" t="n"/>
      <c r="B523" s="36" t="n"/>
      <c r="C523" s="37">
        <f>IF(B523="","",IFERROR(INDEX('案件'!$B$6:$B$105,MATCH(B523,'案件'!$A$6:$A$105,0))&amp;"","（案件シートに無い番号）"))</f>
        <v/>
      </c>
      <c r="D523" s="36" t="n"/>
      <c r="E523" s="38" t="n"/>
      <c r="F523" s="39" t="n"/>
      <c r="G523" s="36" t="n"/>
      <c r="H523" s="40" t="n"/>
      <c r="I523" s="40" t="n"/>
      <c r="J523" s="41">
        <f>IF(ISNUMBER(H523),H523,IF(AND(D523="労務費",TRIM(E523)&lt;&gt;""),IFERROR(INDEX('設定'!$G$12:$G$31,MATCH(TRIM(E523),'設定'!$J$12:$J$31,0)),""),""))</f>
        <v/>
      </c>
      <c r="K523" s="30">
        <f>IF(AND(ISNUMBER(F523),ISNUMBER(J523)),ROUND(F523*J523,0),IF(ISNUMBER(I523),I523,""))</f>
        <v/>
      </c>
      <c r="L523" s="33" t="n"/>
      <c r="M523" s="34">
        <f>IF(COUNTA(A523:B523,D523:I523,L523)=0,"",IF(B523="","案件番号がありません",IF(ISNA(MATCH(B523,'案件'!$A$6:$A$105,0)),"案件シートに無い番号です",IF(NOT(OR(D523="材料費",D523="労務費",D523="外注費",D523="経費")),"費目を4つから選んでください",IF(K523="",IF(AND(ISNUMBER(F523),NOT(ISNUMBER(J523))),IF(D523="労務費","単価がありません（設定の作業者名と同じ書き方に）","単価がありません"),IF(AND(ISNUMBER(J523),NOT(ISNUMBER(F523))),"数量がありません","金額がありません")),IF(NOT(ISNUMBER(A523)),"日付がありません（月別集計に入りません）",IF(AND(ISNUMBER(F523),ISNUMBER(J523),ISNUMBER(I523)),"数量×単価を使いました（金額の欄は使っていません）","")))))))</f>
        <v/>
      </c>
      <c r="N523" s="91">
        <f>IF(AND(B523&lt;&gt;"",B523='案件カード'!$C$3),COUNTIF($B$5:B523,'案件カード'!$C$3),"")</f>
        <v/>
      </c>
      <c r="O523" s="91">
        <f>IF(ISNUMBER(K523),IF(B523="",K523,IF(AND(ISNUMBER(MATCH(B523,'案件'!$A$6:$A$105,0)),OR(D523="材料費",D523="労務費",D523="外注費",D523="経費")),0,K523)),0)</f>
        <v/>
      </c>
    </row>
    <row r="524" ht="16" customHeight="1">
      <c r="A524" s="35" t="n"/>
      <c r="B524" s="36" t="n"/>
      <c r="C524" s="37">
        <f>IF(B524="","",IFERROR(INDEX('案件'!$B$6:$B$105,MATCH(B524,'案件'!$A$6:$A$105,0))&amp;"","（案件シートに無い番号）"))</f>
        <v/>
      </c>
      <c r="D524" s="36" t="n"/>
      <c r="E524" s="38" t="n"/>
      <c r="F524" s="39" t="n"/>
      <c r="G524" s="36" t="n"/>
      <c r="H524" s="40" t="n"/>
      <c r="I524" s="40" t="n"/>
      <c r="J524" s="41">
        <f>IF(ISNUMBER(H524),H524,IF(AND(D524="労務費",TRIM(E524)&lt;&gt;""),IFERROR(INDEX('設定'!$G$12:$G$31,MATCH(TRIM(E524),'設定'!$J$12:$J$31,0)),""),""))</f>
        <v/>
      </c>
      <c r="K524" s="30">
        <f>IF(AND(ISNUMBER(F524),ISNUMBER(J524)),ROUND(F524*J524,0),IF(ISNUMBER(I524),I524,""))</f>
        <v/>
      </c>
      <c r="L524" s="33" t="n"/>
      <c r="M524" s="34">
        <f>IF(COUNTA(A524:B524,D524:I524,L524)=0,"",IF(B524="","案件番号がありません",IF(ISNA(MATCH(B524,'案件'!$A$6:$A$105,0)),"案件シートに無い番号です",IF(NOT(OR(D524="材料費",D524="労務費",D524="外注費",D524="経費")),"費目を4つから選んでください",IF(K524="",IF(AND(ISNUMBER(F524),NOT(ISNUMBER(J524))),IF(D524="労務費","単価がありません（設定の作業者名と同じ書き方に）","単価がありません"),IF(AND(ISNUMBER(J524),NOT(ISNUMBER(F524))),"数量がありません","金額がありません")),IF(NOT(ISNUMBER(A524)),"日付がありません（月別集計に入りません）",IF(AND(ISNUMBER(F524),ISNUMBER(J524),ISNUMBER(I524)),"数量×単価を使いました（金額の欄は使っていません）","")))))))</f>
        <v/>
      </c>
      <c r="N524" s="91">
        <f>IF(AND(B524&lt;&gt;"",B524='案件カード'!$C$3),COUNTIF($B$5:B524,'案件カード'!$C$3),"")</f>
        <v/>
      </c>
      <c r="O524" s="91">
        <f>IF(ISNUMBER(K524),IF(B524="",K524,IF(AND(ISNUMBER(MATCH(B524,'案件'!$A$6:$A$105,0)),OR(D524="材料費",D524="労務費",D524="外注費",D524="経費")),0,K524)),0)</f>
        <v/>
      </c>
    </row>
    <row r="525" ht="16" customHeight="1">
      <c r="A525" s="35" t="n"/>
      <c r="B525" s="36" t="n"/>
      <c r="C525" s="37">
        <f>IF(B525="","",IFERROR(INDEX('案件'!$B$6:$B$105,MATCH(B525,'案件'!$A$6:$A$105,0))&amp;"","（案件シートに無い番号）"))</f>
        <v/>
      </c>
      <c r="D525" s="36" t="n"/>
      <c r="E525" s="38" t="n"/>
      <c r="F525" s="39" t="n"/>
      <c r="G525" s="36" t="n"/>
      <c r="H525" s="40" t="n"/>
      <c r="I525" s="40" t="n"/>
      <c r="J525" s="41">
        <f>IF(ISNUMBER(H525),H525,IF(AND(D525="労務費",TRIM(E525)&lt;&gt;""),IFERROR(INDEX('設定'!$G$12:$G$31,MATCH(TRIM(E525),'設定'!$J$12:$J$31,0)),""),""))</f>
        <v/>
      </c>
      <c r="K525" s="30">
        <f>IF(AND(ISNUMBER(F525),ISNUMBER(J525)),ROUND(F525*J525,0),IF(ISNUMBER(I525),I525,""))</f>
        <v/>
      </c>
      <c r="L525" s="33" t="n"/>
      <c r="M525" s="34">
        <f>IF(COUNTA(A525:B525,D525:I525,L525)=0,"",IF(B525="","案件番号がありません",IF(ISNA(MATCH(B525,'案件'!$A$6:$A$105,0)),"案件シートに無い番号です",IF(NOT(OR(D525="材料費",D525="労務費",D525="外注費",D525="経費")),"費目を4つから選んでください",IF(K525="",IF(AND(ISNUMBER(F525),NOT(ISNUMBER(J525))),IF(D525="労務費","単価がありません（設定の作業者名と同じ書き方に）","単価がありません"),IF(AND(ISNUMBER(J525),NOT(ISNUMBER(F525))),"数量がありません","金額がありません")),IF(NOT(ISNUMBER(A525)),"日付がありません（月別集計に入りません）",IF(AND(ISNUMBER(F525),ISNUMBER(J525),ISNUMBER(I525)),"数量×単価を使いました（金額の欄は使っていません）","")))))))</f>
        <v/>
      </c>
      <c r="N525" s="91">
        <f>IF(AND(B525&lt;&gt;"",B525='案件カード'!$C$3),COUNTIF($B$5:B525,'案件カード'!$C$3),"")</f>
        <v/>
      </c>
      <c r="O525" s="91">
        <f>IF(ISNUMBER(K525),IF(B525="",K525,IF(AND(ISNUMBER(MATCH(B525,'案件'!$A$6:$A$105,0)),OR(D525="材料費",D525="労務費",D525="外注費",D525="経費")),0,K525)),0)</f>
        <v/>
      </c>
    </row>
    <row r="526" ht="16" customHeight="1">
      <c r="A526" s="35" t="n"/>
      <c r="B526" s="36" t="n"/>
      <c r="C526" s="37">
        <f>IF(B526="","",IFERROR(INDEX('案件'!$B$6:$B$105,MATCH(B526,'案件'!$A$6:$A$105,0))&amp;"","（案件シートに無い番号）"))</f>
        <v/>
      </c>
      <c r="D526" s="36" t="n"/>
      <c r="E526" s="38" t="n"/>
      <c r="F526" s="39" t="n"/>
      <c r="G526" s="36" t="n"/>
      <c r="H526" s="40" t="n"/>
      <c r="I526" s="40" t="n"/>
      <c r="J526" s="41">
        <f>IF(ISNUMBER(H526),H526,IF(AND(D526="労務費",TRIM(E526)&lt;&gt;""),IFERROR(INDEX('設定'!$G$12:$G$31,MATCH(TRIM(E526),'設定'!$J$12:$J$31,0)),""),""))</f>
        <v/>
      </c>
      <c r="K526" s="30">
        <f>IF(AND(ISNUMBER(F526),ISNUMBER(J526)),ROUND(F526*J526,0),IF(ISNUMBER(I526),I526,""))</f>
        <v/>
      </c>
      <c r="L526" s="33" t="n"/>
      <c r="M526" s="34">
        <f>IF(COUNTA(A526:B526,D526:I526,L526)=0,"",IF(B526="","案件番号がありません",IF(ISNA(MATCH(B526,'案件'!$A$6:$A$105,0)),"案件シートに無い番号です",IF(NOT(OR(D526="材料費",D526="労務費",D526="外注費",D526="経費")),"費目を4つから選んでください",IF(K526="",IF(AND(ISNUMBER(F526),NOT(ISNUMBER(J526))),IF(D526="労務費","単価がありません（設定の作業者名と同じ書き方に）","単価がありません"),IF(AND(ISNUMBER(J526),NOT(ISNUMBER(F526))),"数量がありません","金額がありません")),IF(NOT(ISNUMBER(A526)),"日付がありません（月別集計に入りません）",IF(AND(ISNUMBER(F526),ISNUMBER(J526),ISNUMBER(I526)),"数量×単価を使いました（金額の欄は使っていません）","")))))))</f>
        <v/>
      </c>
      <c r="N526" s="91">
        <f>IF(AND(B526&lt;&gt;"",B526='案件カード'!$C$3),COUNTIF($B$5:B526,'案件カード'!$C$3),"")</f>
        <v/>
      </c>
      <c r="O526" s="91">
        <f>IF(ISNUMBER(K526),IF(B526="",K526,IF(AND(ISNUMBER(MATCH(B526,'案件'!$A$6:$A$105,0)),OR(D526="材料費",D526="労務費",D526="外注費",D526="経費")),0,K526)),0)</f>
        <v/>
      </c>
    </row>
    <row r="527" ht="16" customHeight="1">
      <c r="A527" s="35" t="n"/>
      <c r="B527" s="36" t="n"/>
      <c r="C527" s="37">
        <f>IF(B527="","",IFERROR(INDEX('案件'!$B$6:$B$105,MATCH(B527,'案件'!$A$6:$A$105,0))&amp;"","（案件シートに無い番号）"))</f>
        <v/>
      </c>
      <c r="D527" s="36" t="n"/>
      <c r="E527" s="38" t="n"/>
      <c r="F527" s="39" t="n"/>
      <c r="G527" s="36" t="n"/>
      <c r="H527" s="40" t="n"/>
      <c r="I527" s="40" t="n"/>
      <c r="J527" s="41">
        <f>IF(ISNUMBER(H527),H527,IF(AND(D527="労務費",TRIM(E527)&lt;&gt;""),IFERROR(INDEX('設定'!$G$12:$G$31,MATCH(TRIM(E527),'設定'!$J$12:$J$31,0)),""),""))</f>
        <v/>
      </c>
      <c r="K527" s="30">
        <f>IF(AND(ISNUMBER(F527),ISNUMBER(J527)),ROUND(F527*J527,0),IF(ISNUMBER(I527),I527,""))</f>
        <v/>
      </c>
      <c r="L527" s="33" t="n"/>
      <c r="M527" s="34">
        <f>IF(COUNTA(A527:B527,D527:I527,L527)=0,"",IF(B527="","案件番号がありません",IF(ISNA(MATCH(B527,'案件'!$A$6:$A$105,0)),"案件シートに無い番号です",IF(NOT(OR(D527="材料費",D527="労務費",D527="外注費",D527="経費")),"費目を4つから選んでください",IF(K527="",IF(AND(ISNUMBER(F527),NOT(ISNUMBER(J527))),IF(D527="労務費","単価がありません（設定の作業者名と同じ書き方に）","単価がありません"),IF(AND(ISNUMBER(J527),NOT(ISNUMBER(F527))),"数量がありません","金額がありません")),IF(NOT(ISNUMBER(A527)),"日付がありません（月別集計に入りません）",IF(AND(ISNUMBER(F527),ISNUMBER(J527),ISNUMBER(I527)),"数量×単価を使いました（金額の欄は使っていません）","")))))))</f>
        <v/>
      </c>
      <c r="N527" s="91">
        <f>IF(AND(B527&lt;&gt;"",B527='案件カード'!$C$3),COUNTIF($B$5:B527,'案件カード'!$C$3),"")</f>
        <v/>
      </c>
      <c r="O527" s="91">
        <f>IF(ISNUMBER(K527),IF(B527="",K527,IF(AND(ISNUMBER(MATCH(B527,'案件'!$A$6:$A$105,0)),OR(D527="材料費",D527="労務費",D527="外注費",D527="経費")),0,K527)),0)</f>
        <v/>
      </c>
    </row>
    <row r="528" ht="16" customHeight="1">
      <c r="A528" s="35" t="n"/>
      <c r="B528" s="36" t="n"/>
      <c r="C528" s="37">
        <f>IF(B528="","",IFERROR(INDEX('案件'!$B$6:$B$105,MATCH(B528,'案件'!$A$6:$A$105,0))&amp;"","（案件シートに無い番号）"))</f>
        <v/>
      </c>
      <c r="D528" s="36" t="n"/>
      <c r="E528" s="38" t="n"/>
      <c r="F528" s="39" t="n"/>
      <c r="G528" s="36" t="n"/>
      <c r="H528" s="40" t="n"/>
      <c r="I528" s="40" t="n"/>
      <c r="J528" s="41">
        <f>IF(ISNUMBER(H528),H528,IF(AND(D528="労務費",TRIM(E528)&lt;&gt;""),IFERROR(INDEX('設定'!$G$12:$G$31,MATCH(TRIM(E528),'設定'!$J$12:$J$31,0)),""),""))</f>
        <v/>
      </c>
      <c r="K528" s="30">
        <f>IF(AND(ISNUMBER(F528),ISNUMBER(J528)),ROUND(F528*J528,0),IF(ISNUMBER(I528),I528,""))</f>
        <v/>
      </c>
      <c r="L528" s="33" t="n"/>
      <c r="M528" s="34">
        <f>IF(COUNTA(A528:B528,D528:I528,L528)=0,"",IF(B528="","案件番号がありません",IF(ISNA(MATCH(B528,'案件'!$A$6:$A$105,0)),"案件シートに無い番号です",IF(NOT(OR(D528="材料費",D528="労務費",D528="外注費",D528="経費")),"費目を4つから選んでください",IF(K528="",IF(AND(ISNUMBER(F528),NOT(ISNUMBER(J528))),IF(D528="労務費","単価がありません（設定の作業者名と同じ書き方に）","単価がありません"),IF(AND(ISNUMBER(J528),NOT(ISNUMBER(F528))),"数量がありません","金額がありません")),IF(NOT(ISNUMBER(A528)),"日付がありません（月別集計に入りません）",IF(AND(ISNUMBER(F528),ISNUMBER(J528),ISNUMBER(I528)),"数量×単価を使いました（金額の欄は使っていません）","")))))))</f>
        <v/>
      </c>
      <c r="N528" s="91">
        <f>IF(AND(B528&lt;&gt;"",B528='案件カード'!$C$3),COUNTIF($B$5:B528,'案件カード'!$C$3),"")</f>
        <v/>
      </c>
      <c r="O528" s="91">
        <f>IF(ISNUMBER(K528),IF(B528="",K528,IF(AND(ISNUMBER(MATCH(B528,'案件'!$A$6:$A$105,0)),OR(D528="材料費",D528="労務費",D528="外注費",D528="経費")),0,K528)),0)</f>
        <v/>
      </c>
    </row>
    <row r="529" ht="16" customHeight="1">
      <c r="A529" s="35" t="n"/>
      <c r="B529" s="36" t="n"/>
      <c r="C529" s="37">
        <f>IF(B529="","",IFERROR(INDEX('案件'!$B$6:$B$105,MATCH(B529,'案件'!$A$6:$A$105,0))&amp;"","（案件シートに無い番号）"))</f>
        <v/>
      </c>
      <c r="D529" s="36" t="n"/>
      <c r="E529" s="38" t="n"/>
      <c r="F529" s="39" t="n"/>
      <c r="G529" s="36" t="n"/>
      <c r="H529" s="40" t="n"/>
      <c r="I529" s="40" t="n"/>
      <c r="J529" s="41">
        <f>IF(ISNUMBER(H529),H529,IF(AND(D529="労務費",TRIM(E529)&lt;&gt;""),IFERROR(INDEX('設定'!$G$12:$G$31,MATCH(TRIM(E529),'設定'!$J$12:$J$31,0)),""),""))</f>
        <v/>
      </c>
      <c r="K529" s="30">
        <f>IF(AND(ISNUMBER(F529),ISNUMBER(J529)),ROUND(F529*J529,0),IF(ISNUMBER(I529),I529,""))</f>
        <v/>
      </c>
      <c r="L529" s="33" t="n"/>
      <c r="M529" s="34">
        <f>IF(COUNTA(A529:B529,D529:I529,L529)=0,"",IF(B529="","案件番号がありません",IF(ISNA(MATCH(B529,'案件'!$A$6:$A$105,0)),"案件シートに無い番号です",IF(NOT(OR(D529="材料費",D529="労務費",D529="外注費",D529="経費")),"費目を4つから選んでください",IF(K529="",IF(AND(ISNUMBER(F529),NOT(ISNUMBER(J529))),IF(D529="労務費","単価がありません（設定の作業者名と同じ書き方に）","単価がありません"),IF(AND(ISNUMBER(J529),NOT(ISNUMBER(F529))),"数量がありません","金額がありません")),IF(NOT(ISNUMBER(A529)),"日付がありません（月別集計に入りません）",IF(AND(ISNUMBER(F529),ISNUMBER(J529),ISNUMBER(I529)),"数量×単価を使いました（金額の欄は使っていません）","")))))))</f>
        <v/>
      </c>
      <c r="N529" s="91">
        <f>IF(AND(B529&lt;&gt;"",B529='案件カード'!$C$3),COUNTIF($B$5:B529,'案件カード'!$C$3),"")</f>
        <v/>
      </c>
      <c r="O529" s="91">
        <f>IF(ISNUMBER(K529),IF(B529="",K529,IF(AND(ISNUMBER(MATCH(B529,'案件'!$A$6:$A$105,0)),OR(D529="材料費",D529="労務費",D529="外注費",D529="経費")),0,K529)),0)</f>
        <v/>
      </c>
    </row>
    <row r="530" ht="16" customHeight="1">
      <c r="A530" s="35" t="n"/>
      <c r="B530" s="36" t="n"/>
      <c r="C530" s="37">
        <f>IF(B530="","",IFERROR(INDEX('案件'!$B$6:$B$105,MATCH(B530,'案件'!$A$6:$A$105,0))&amp;"","（案件シートに無い番号）"))</f>
        <v/>
      </c>
      <c r="D530" s="36" t="n"/>
      <c r="E530" s="38" t="n"/>
      <c r="F530" s="39" t="n"/>
      <c r="G530" s="36" t="n"/>
      <c r="H530" s="40" t="n"/>
      <c r="I530" s="40" t="n"/>
      <c r="J530" s="41">
        <f>IF(ISNUMBER(H530),H530,IF(AND(D530="労務費",TRIM(E530)&lt;&gt;""),IFERROR(INDEX('設定'!$G$12:$G$31,MATCH(TRIM(E530),'設定'!$J$12:$J$31,0)),""),""))</f>
        <v/>
      </c>
      <c r="K530" s="30">
        <f>IF(AND(ISNUMBER(F530),ISNUMBER(J530)),ROUND(F530*J530,0),IF(ISNUMBER(I530),I530,""))</f>
        <v/>
      </c>
      <c r="L530" s="33" t="n"/>
      <c r="M530" s="34">
        <f>IF(COUNTA(A530:B530,D530:I530,L530)=0,"",IF(B530="","案件番号がありません",IF(ISNA(MATCH(B530,'案件'!$A$6:$A$105,0)),"案件シートに無い番号です",IF(NOT(OR(D530="材料費",D530="労務費",D530="外注費",D530="経費")),"費目を4つから選んでください",IF(K530="",IF(AND(ISNUMBER(F530),NOT(ISNUMBER(J530))),IF(D530="労務費","単価がありません（設定の作業者名と同じ書き方に）","単価がありません"),IF(AND(ISNUMBER(J530),NOT(ISNUMBER(F530))),"数量がありません","金額がありません")),IF(NOT(ISNUMBER(A530)),"日付がありません（月別集計に入りません）",IF(AND(ISNUMBER(F530),ISNUMBER(J530),ISNUMBER(I530)),"数量×単価を使いました（金額の欄は使っていません）","")))))))</f>
        <v/>
      </c>
      <c r="N530" s="91">
        <f>IF(AND(B530&lt;&gt;"",B530='案件カード'!$C$3),COUNTIF($B$5:B530,'案件カード'!$C$3),"")</f>
        <v/>
      </c>
      <c r="O530" s="91">
        <f>IF(ISNUMBER(K530),IF(B530="",K530,IF(AND(ISNUMBER(MATCH(B530,'案件'!$A$6:$A$105,0)),OR(D530="材料費",D530="労務費",D530="外注費",D530="経費")),0,K530)),0)</f>
        <v/>
      </c>
    </row>
    <row r="531" ht="16" customHeight="1">
      <c r="A531" s="35" t="n"/>
      <c r="B531" s="36" t="n"/>
      <c r="C531" s="37">
        <f>IF(B531="","",IFERROR(INDEX('案件'!$B$6:$B$105,MATCH(B531,'案件'!$A$6:$A$105,0))&amp;"","（案件シートに無い番号）"))</f>
        <v/>
      </c>
      <c r="D531" s="36" t="n"/>
      <c r="E531" s="38" t="n"/>
      <c r="F531" s="39" t="n"/>
      <c r="G531" s="36" t="n"/>
      <c r="H531" s="40" t="n"/>
      <c r="I531" s="40" t="n"/>
      <c r="J531" s="41">
        <f>IF(ISNUMBER(H531),H531,IF(AND(D531="労務費",TRIM(E531)&lt;&gt;""),IFERROR(INDEX('設定'!$G$12:$G$31,MATCH(TRIM(E531),'設定'!$J$12:$J$31,0)),""),""))</f>
        <v/>
      </c>
      <c r="K531" s="30">
        <f>IF(AND(ISNUMBER(F531),ISNUMBER(J531)),ROUND(F531*J531,0),IF(ISNUMBER(I531),I531,""))</f>
        <v/>
      </c>
      <c r="L531" s="33" t="n"/>
      <c r="M531" s="34">
        <f>IF(COUNTA(A531:B531,D531:I531,L531)=0,"",IF(B531="","案件番号がありません",IF(ISNA(MATCH(B531,'案件'!$A$6:$A$105,0)),"案件シートに無い番号です",IF(NOT(OR(D531="材料費",D531="労務費",D531="外注費",D531="経費")),"費目を4つから選んでください",IF(K531="",IF(AND(ISNUMBER(F531),NOT(ISNUMBER(J531))),IF(D531="労務費","単価がありません（設定の作業者名と同じ書き方に）","単価がありません"),IF(AND(ISNUMBER(J531),NOT(ISNUMBER(F531))),"数量がありません","金額がありません")),IF(NOT(ISNUMBER(A531)),"日付がありません（月別集計に入りません）",IF(AND(ISNUMBER(F531),ISNUMBER(J531),ISNUMBER(I531)),"数量×単価を使いました（金額の欄は使っていません）","")))))))</f>
        <v/>
      </c>
      <c r="N531" s="91">
        <f>IF(AND(B531&lt;&gt;"",B531='案件カード'!$C$3),COUNTIF($B$5:B531,'案件カード'!$C$3),"")</f>
        <v/>
      </c>
      <c r="O531" s="91">
        <f>IF(ISNUMBER(K531),IF(B531="",K531,IF(AND(ISNUMBER(MATCH(B531,'案件'!$A$6:$A$105,0)),OR(D531="材料費",D531="労務費",D531="外注費",D531="経費")),0,K531)),0)</f>
        <v/>
      </c>
    </row>
    <row r="532" ht="16" customHeight="1">
      <c r="A532" s="35" t="n"/>
      <c r="B532" s="36" t="n"/>
      <c r="C532" s="37">
        <f>IF(B532="","",IFERROR(INDEX('案件'!$B$6:$B$105,MATCH(B532,'案件'!$A$6:$A$105,0))&amp;"","（案件シートに無い番号）"))</f>
        <v/>
      </c>
      <c r="D532" s="36" t="n"/>
      <c r="E532" s="38" t="n"/>
      <c r="F532" s="39" t="n"/>
      <c r="G532" s="36" t="n"/>
      <c r="H532" s="40" t="n"/>
      <c r="I532" s="40" t="n"/>
      <c r="J532" s="41">
        <f>IF(ISNUMBER(H532),H532,IF(AND(D532="労務費",TRIM(E532)&lt;&gt;""),IFERROR(INDEX('設定'!$G$12:$G$31,MATCH(TRIM(E532),'設定'!$J$12:$J$31,0)),""),""))</f>
        <v/>
      </c>
      <c r="K532" s="30">
        <f>IF(AND(ISNUMBER(F532),ISNUMBER(J532)),ROUND(F532*J532,0),IF(ISNUMBER(I532),I532,""))</f>
        <v/>
      </c>
      <c r="L532" s="33" t="n"/>
      <c r="M532" s="34">
        <f>IF(COUNTA(A532:B532,D532:I532,L532)=0,"",IF(B532="","案件番号がありません",IF(ISNA(MATCH(B532,'案件'!$A$6:$A$105,0)),"案件シートに無い番号です",IF(NOT(OR(D532="材料費",D532="労務費",D532="外注費",D532="経費")),"費目を4つから選んでください",IF(K532="",IF(AND(ISNUMBER(F532),NOT(ISNUMBER(J532))),IF(D532="労務費","単価がありません（設定の作業者名と同じ書き方に）","単価がありません"),IF(AND(ISNUMBER(J532),NOT(ISNUMBER(F532))),"数量がありません","金額がありません")),IF(NOT(ISNUMBER(A532)),"日付がありません（月別集計に入りません）",IF(AND(ISNUMBER(F532),ISNUMBER(J532),ISNUMBER(I532)),"数量×単価を使いました（金額の欄は使っていません）","")))))))</f>
        <v/>
      </c>
      <c r="N532" s="91">
        <f>IF(AND(B532&lt;&gt;"",B532='案件カード'!$C$3),COUNTIF($B$5:B532,'案件カード'!$C$3),"")</f>
        <v/>
      </c>
      <c r="O532" s="91">
        <f>IF(ISNUMBER(K532),IF(B532="",K532,IF(AND(ISNUMBER(MATCH(B532,'案件'!$A$6:$A$105,0)),OR(D532="材料費",D532="労務費",D532="外注費",D532="経費")),0,K532)),0)</f>
        <v/>
      </c>
    </row>
    <row r="533" ht="16" customHeight="1">
      <c r="A533" s="35" t="n"/>
      <c r="B533" s="36" t="n"/>
      <c r="C533" s="37">
        <f>IF(B533="","",IFERROR(INDEX('案件'!$B$6:$B$105,MATCH(B533,'案件'!$A$6:$A$105,0))&amp;"","（案件シートに無い番号）"))</f>
        <v/>
      </c>
      <c r="D533" s="36" t="n"/>
      <c r="E533" s="38" t="n"/>
      <c r="F533" s="39" t="n"/>
      <c r="G533" s="36" t="n"/>
      <c r="H533" s="40" t="n"/>
      <c r="I533" s="40" t="n"/>
      <c r="J533" s="41">
        <f>IF(ISNUMBER(H533),H533,IF(AND(D533="労務費",TRIM(E533)&lt;&gt;""),IFERROR(INDEX('設定'!$G$12:$G$31,MATCH(TRIM(E533),'設定'!$J$12:$J$31,0)),""),""))</f>
        <v/>
      </c>
      <c r="K533" s="30">
        <f>IF(AND(ISNUMBER(F533),ISNUMBER(J533)),ROUND(F533*J533,0),IF(ISNUMBER(I533),I533,""))</f>
        <v/>
      </c>
      <c r="L533" s="33" t="n"/>
      <c r="M533" s="34">
        <f>IF(COUNTA(A533:B533,D533:I533,L533)=0,"",IF(B533="","案件番号がありません",IF(ISNA(MATCH(B533,'案件'!$A$6:$A$105,0)),"案件シートに無い番号です",IF(NOT(OR(D533="材料費",D533="労務費",D533="外注費",D533="経費")),"費目を4つから選んでください",IF(K533="",IF(AND(ISNUMBER(F533),NOT(ISNUMBER(J533))),IF(D533="労務費","単価がありません（設定の作業者名と同じ書き方に）","単価がありません"),IF(AND(ISNUMBER(J533),NOT(ISNUMBER(F533))),"数量がありません","金額がありません")),IF(NOT(ISNUMBER(A533)),"日付がありません（月別集計に入りません）",IF(AND(ISNUMBER(F533),ISNUMBER(J533),ISNUMBER(I533)),"数量×単価を使いました（金額の欄は使っていません）","")))))))</f>
        <v/>
      </c>
      <c r="N533" s="91">
        <f>IF(AND(B533&lt;&gt;"",B533='案件カード'!$C$3),COUNTIF($B$5:B533,'案件カード'!$C$3),"")</f>
        <v/>
      </c>
      <c r="O533" s="91">
        <f>IF(ISNUMBER(K533),IF(B533="",K533,IF(AND(ISNUMBER(MATCH(B533,'案件'!$A$6:$A$105,0)),OR(D533="材料費",D533="労務費",D533="外注費",D533="経費")),0,K533)),0)</f>
        <v/>
      </c>
    </row>
    <row r="534" ht="16" customHeight="1">
      <c r="A534" s="35" t="n"/>
      <c r="B534" s="36" t="n"/>
      <c r="C534" s="37">
        <f>IF(B534="","",IFERROR(INDEX('案件'!$B$6:$B$105,MATCH(B534,'案件'!$A$6:$A$105,0))&amp;"","（案件シートに無い番号）"))</f>
        <v/>
      </c>
      <c r="D534" s="36" t="n"/>
      <c r="E534" s="38" t="n"/>
      <c r="F534" s="39" t="n"/>
      <c r="G534" s="36" t="n"/>
      <c r="H534" s="40" t="n"/>
      <c r="I534" s="40" t="n"/>
      <c r="J534" s="41">
        <f>IF(ISNUMBER(H534),H534,IF(AND(D534="労務費",TRIM(E534)&lt;&gt;""),IFERROR(INDEX('設定'!$G$12:$G$31,MATCH(TRIM(E534),'設定'!$J$12:$J$31,0)),""),""))</f>
        <v/>
      </c>
      <c r="K534" s="30">
        <f>IF(AND(ISNUMBER(F534),ISNUMBER(J534)),ROUND(F534*J534,0),IF(ISNUMBER(I534),I534,""))</f>
        <v/>
      </c>
      <c r="L534" s="33" t="n"/>
      <c r="M534" s="34">
        <f>IF(COUNTA(A534:B534,D534:I534,L534)=0,"",IF(B534="","案件番号がありません",IF(ISNA(MATCH(B534,'案件'!$A$6:$A$105,0)),"案件シートに無い番号です",IF(NOT(OR(D534="材料費",D534="労務費",D534="外注費",D534="経費")),"費目を4つから選んでください",IF(K534="",IF(AND(ISNUMBER(F534),NOT(ISNUMBER(J534))),IF(D534="労務費","単価がありません（設定の作業者名と同じ書き方に）","単価がありません"),IF(AND(ISNUMBER(J534),NOT(ISNUMBER(F534))),"数量がありません","金額がありません")),IF(NOT(ISNUMBER(A534)),"日付がありません（月別集計に入りません）",IF(AND(ISNUMBER(F534),ISNUMBER(J534),ISNUMBER(I534)),"数量×単価を使いました（金額の欄は使っていません）","")))))))</f>
        <v/>
      </c>
      <c r="N534" s="91">
        <f>IF(AND(B534&lt;&gt;"",B534='案件カード'!$C$3),COUNTIF($B$5:B534,'案件カード'!$C$3),"")</f>
        <v/>
      </c>
      <c r="O534" s="91">
        <f>IF(ISNUMBER(K534),IF(B534="",K534,IF(AND(ISNUMBER(MATCH(B534,'案件'!$A$6:$A$105,0)),OR(D534="材料費",D534="労務費",D534="外注費",D534="経費")),0,K534)),0)</f>
        <v/>
      </c>
    </row>
    <row r="535" ht="16" customHeight="1">
      <c r="A535" s="35" t="n"/>
      <c r="B535" s="36" t="n"/>
      <c r="C535" s="37">
        <f>IF(B535="","",IFERROR(INDEX('案件'!$B$6:$B$105,MATCH(B535,'案件'!$A$6:$A$105,0))&amp;"","（案件シートに無い番号）"))</f>
        <v/>
      </c>
      <c r="D535" s="36" t="n"/>
      <c r="E535" s="38" t="n"/>
      <c r="F535" s="39" t="n"/>
      <c r="G535" s="36" t="n"/>
      <c r="H535" s="40" t="n"/>
      <c r="I535" s="40" t="n"/>
      <c r="J535" s="41">
        <f>IF(ISNUMBER(H535),H535,IF(AND(D535="労務費",TRIM(E535)&lt;&gt;""),IFERROR(INDEX('設定'!$G$12:$G$31,MATCH(TRIM(E535),'設定'!$J$12:$J$31,0)),""),""))</f>
        <v/>
      </c>
      <c r="K535" s="30">
        <f>IF(AND(ISNUMBER(F535),ISNUMBER(J535)),ROUND(F535*J535,0),IF(ISNUMBER(I535),I535,""))</f>
        <v/>
      </c>
      <c r="L535" s="33" t="n"/>
      <c r="M535" s="34">
        <f>IF(COUNTA(A535:B535,D535:I535,L535)=0,"",IF(B535="","案件番号がありません",IF(ISNA(MATCH(B535,'案件'!$A$6:$A$105,0)),"案件シートに無い番号です",IF(NOT(OR(D535="材料費",D535="労務費",D535="外注費",D535="経費")),"費目を4つから選んでください",IF(K535="",IF(AND(ISNUMBER(F535),NOT(ISNUMBER(J535))),IF(D535="労務費","単価がありません（設定の作業者名と同じ書き方に）","単価がありません"),IF(AND(ISNUMBER(J535),NOT(ISNUMBER(F535))),"数量がありません","金額がありません")),IF(NOT(ISNUMBER(A535)),"日付がありません（月別集計に入りません）",IF(AND(ISNUMBER(F535),ISNUMBER(J535),ISNUMBER(I535)),"数量×単価を使いました（金額の欄は使っていません）","")))))))</f>
        <v/>
      </c>
      <c r="N535" s="91">
        <f>IF(AND(B535&lt;&gt;"",B535='案件カード'!$C$3),COUNTIF($B$5:B535,'案件カード'!$C$3),"")</f>
        <v/>
      </c>
      <c r="O535" s="91">
        <f>IF(ISNUMBER(K535),IF(B535="",K535,IF(AND(ISNUMBER(MATCH(B535,'案件'!$A$6:$A$105,0)),OR(D535="材料費",D535="労務費",D535="外注費",D535="経費")),0,K535)),0)</f>
        <v/>
      </c>
    </row>
    <row r="536" ht="16" customHeight="1">
      <c r="A536" s="35" t="n"/>
      <c r="B536" s="36" t="n"/>
      <c r="C536" s="37">
        <f>IF(B536="","",IFERROR(INDEX('案件'!$B$6:$B$105,MATCH(B536,'案件'!$A$6:$A$105,0))&amp;"","（案件シートに無い番号）"))</f>
        <v/>
      </c>
      <c r="D536" s="36" t="n"/>
      <c r="E536" s="38" t="n"/>
      <c r="F536" s="39" t="n"/>
      <c r="G536" s="36" t="n"/>
      <c r="H536" s="40" t="n"/>
      <c r="I536" s="40" t="n"/>
      <c r="J536" s="41">
        <f>IF(ISNUMBER(H536),H536,IF(AND(D536="労務費",TRIM(E536)&lt;&gt;""),IFERROR(INDEX('設定'!$G$12:$G$31,MATCH(TRIM(E536),'設定'!$J$12:$J$31,0)),""),""))</f>
        <v/>
      </c>
      <c r="K536" s="30">
        <f>IF(AND(ISNUMBER(F536),ISNUMBER(J536)),ROUND(F536*J536,0),IF(ISNUMBER(I536),I536,""))</f>
        <v/>
      </c>
      <c r="L536" s="33" t="n"/>
      <c r="M536" s="34">
        <f>IF(COUNTA(A536:B536,D536:I536,L536)=0,"",IF(B536="","案件番号がありません",IF(ISNA(MATCH(B536,'案件'!$A$6:$A$105,0)),"案件シートに無い番号です",IF(NOT(OR(D536="材料費",D536="労務費",D536="外注費",D536="経費")),"費目を4つから選んでください",IF(K536="",IF(AND(ISNUMBER(F536),NOT(ISNUMBER(J536))),IF(D536="労務費","単価がありません（設定の作業者名と同じ書き方に）","単価がありません"),IF(AND(ISNUMBER(J536),NOT(ISNUMBER(F536))),"数量がありません","金額がありません")),IF(NOT(ISNUMBER(A536)),"日付がありません（月別集計に入りません）",IF(AND(ISNUMBER(F536),ISNUMBER(J536),ISNUMBER(I536)),"数量×単価を使いました（金額の欄は使っていません）","")))))))</f>
        <v/>
      </c>
      <c r="N536" s="91">
        <f>IF(AND(B536&lt;&gt;"",B536='案件カード'!$C$3),COUNTIF($B$5:B536,'案件カード'!$C$3),"")</f>
        <v/>
      </c>
      <c r="O536" s="91">
        <f>IF(ISNUMBER(K536),IF(B536="",K536,IF(AND(ISNUMBER(MATCH(B536,'案件'!$A$6:$A$105,0)),OR(D536="材料費",D536="労務費",D536="外注費",D536="経費")),0,K536)),0)</f>
        <v/>
      </c>
    </row>
    <row r="537" ht="16" customHeight="1">
      <c r="A537" s="35" t="n"/>
      <c r="B537" s="36" t="n"/>
      <c r="C537" s="37">
        <f>IF(B537="","",IFERROR(INDEX('案件'!$B$6:$B$105,MATCH(B537,'案件'!$A$6:$A$105,0))&amp;"","（案件シートに無い番号）"))</f>
        <v/>
      </c>
      <c r="D537" s="36" t="n"/>
      <c r="E537" s="38" t="n"/>
      <c r="F537" s="39" t="n"/>
      <c r="G537" s="36" t="n"/>
      <c r="H537" s="40" t="n"/>
      <c r="I537" s="40" t="n"/>
      <c r="J537" s="41">
        <f>IF(ISNUMBER(H537),H537,IF(AND(D537="労務費",TRIM(E537)&lt;&gt;""),IFERROR(INDEX('設定'!$G$12:$G$31,MATCH(TRIM(E537),'設定'!$J$12:$J$31,0)),""),""))</f>
        <v/>
      </c>
      <c r="K537" s="30">
        <f>IF(AND(ISNUMBER(F537),ISNUMBER(J537)),ROUND(F537*J537,0),IF(ISNUMBER(I537),I537,""))</f>
        <v/>
      </c>
      <c r="L537" s="33" t="n"/>
      <c r="M537" s="34">
        <f>IF(COUNTA(A537:B537,D537:I537,L537)=0,"",IF(B537="","案件番号がありません",IF(ISNA(MATCH(B537,'案件'!$A$6:$A$105,0)),"案件シートに無い番号です",IF(NOT(OR(D537="材料費",D537="労務費",D537="外注費",D537="経費")),"費目を4つから選んでください",IF(K537="",IF(AND(ISNUMBER(F537),NOT(ISNUMBER(J537))),IF(D537="労務費","単価がありません（設定の作業者名と同じ書き方に）","単価がありません"),IF(AND(ISNUMBER(J537),NOT(ISNUMBER(F537))),"数量がありません","金額がありません")),IF(NOT(ISNUMBER(A537)),"日付がありません（月別集計に入りません）",IF(AND(ISNUMBER(F537),ISNUMBER(J537),ISNUMBER(I537)),"数量×単価を使いました（金額の欄は使っていません）","")))))))</f>
        <v/>
      </c>
      <c r="N537" s="91">
        <f>IF(AND(B537&lt;&gt;"",B537='案件カード'!$C$3),COUNTIF($B$5:B537,'案件カード'!$C$3),"")</f>
        <v/>
      </c>
      <c r="O537" s="91">
        <f>IF(ISNUMBER(K537),IF(B537="",K537,IF(AND(ISNUMBER(MATCH(B537,'案件'!$A$6:$A$105,0)),OR(D537="材料費",D537="労務費",D537="外注費",D537="経費")),0,K537)),0)</f>
        <v/>
      </c>
    </row>
    <row r="538" ht="16" customHeight="1">
      <c r="A538" s="35" t="n"/>
      <c r="B538" s="36" t="n"/>
      <c r="C538" s="37">
        <f>IF(B538="","",IFERROR(INDEX('案件'!$B$6:$B$105,MATCH(B538,'案件'!$A$6:$A$105,0))&amp;"","（案件シートに無い番号）"))</f>
        <v/>
      </c>
      <c r="D538" s="36" t="n"/>
      <c r="E538" s="38" t="n"/>
      <c r="F538" s="39" t="n"/>
      <c r="G538" s="36" t="n"/>
      <c r="H538" s="40" t="n"/>
      <c r="I538" s="40" t="n"/>
      <c r="J538" s="41">
        <f>IF(ISNUMBER(H538),H538,IF(AND(D538="労務費",TRIM(E538)&lt;&gt;""),IFERROR(INDEX('設定'!$G$12:$G$31,MATCH(TRIM(E538),'設定'!$J$12:$J$31,0)),""),""))</f>
        <v/>
      </c>
      <c r="K538" s="30">
        <f>IF(AND(ISNUMBER(F538),ISNUMBER(J538)),ROUND(F538*J538,0),IF(ISNUMBER(I538),I538,""))</f>
        <v/>
      </c>
      <c r="L538" s="33" t="n"/>
      <c r="M538" s="34">
        <f>IF(COUNTA(A538:B538,D538:I538,L538)=0,"",IF(B538="","案件番号がありません",IF(ISNA(MATCH(B538,'案件'!$A$6:$A$105,0)),"案件シートに無い番号です",IF(NOT(OR(D538="材料費",D538="労務費",D538="外注費",D538="経費")),"費目を4つから選んでください",IF(K538="",IF(AND(ISNUMBER(F538),NOT(ISNUMBER(J538))),IF(D538="労務費","単価がありません（設定の作業者名と同じ書き方に）","単価がありません"),IF(AND(ISNUMBER(J538),NOT(ISNUMBER(F538))),"数量がありません","金額がありません")),IF(NOT(ISNUMBER(A538)),"日付がありません（月別集計に入りません）",IF(AND(ISNUMBER(F538),ISNUMBER(J538),ISNUMBER(I538)),"数量×単価を使いました（金額の欄は使っていません）","")))))))</f>
        <v/>
      </c>
      <c r="N538" s="91">
        <f>IF(AND(B538&lt;&gt;"",B538='案件カード'!$C$3),COUNTIF($B$5:B538,'案件カード'!$C$3),"")</f>
        <v/>
      </c>
      <c r="O538" s="91">
        <f>IF(ISNUMBER(K538),IF(B538="",K538,IF(AND(ISNUMBER(MATCH(B538,'案件'!$A$6:$A$105,0)),OR(D538="材料費",D538="労務費",D538="外注費",D538="経費")),0,K538)),0)</f>
        <v/>
      </c>
    </row>
    <row r="539" ht="16" customHeight="1">
      <c r="A539" s="35" t="n"/>
      <c r="B539" s="36" t="n"/>
      <c r="C539" s="37">
        <f>IF(B539="","",IFERROR(INDEX('案件'!$B$6:$B$105,MATCH(B539,'案件'!$A$6:$A$105,0))&amp;"","（案件シートに無い番号）"))</f>
        <v/>
      </c>
      <c r="D539" s="36" t="n"/>
      <c r="E539" s="38" t="n"/>
      <c r="F539" s="39" t="n"/>
      <c r="G539" s="36" t="n"/>
      <c r="H539" s="40" t="n"/>
      <c r="I539" s="40" t="n"/>
      <c r="J539" s="41">
        <f>IF(ISNUMBER(H539),H539,IF(AND(D539="労務費",TRIM(E539)&lt;&gt;""),IFERROR(INDEX('設定'!$G$12:$G$31,MATCH(TRIM(E539),'設定'!$J$12:$J$31,0)),""),""))</f>
        <v/>
      </c>
      <c r="K539" s="30">
        <f>IF(AND(ISNUMBER(F539),ISNUMBER(J539)),ROUND(F539*J539,0),IF(ISNUMBER(I539),I539,""))</f>
        <v/>
      </c>
      <c r="L539" s="33" t="n"/>
      <c r="M539" s="34">
        <f>IF(COUNTA(A539:B539,D539:I539,L539)=0,"",IF(B539="","案件番号がありません",IF(ISNA(MATCH(B539,'案件'!$A$6:$A$105,0)),"案件シートに無い番号です",IF(NOT(OR(D539="材料費",D539="労務費",D539="外注費",D539="経費")),"費目を4つから選んでください",IF(K539="",IF(AND(ISNUMBER(F539),NOT(ISNUMBER(J539))),IF(D539="労務費","単価がありません（設定の作業者名と同じ書き方に）","単価がありません"),IF(AND(ISNUMBER(J539),NOT(ISNUMBER(F539))),"数量がありません","金額がありません")),IF(NOT(ISNUMBER(A539)),"日付がありません（月別集計に入りません）",IF(AND(ISNUMBER(F539),ISNUMBER(J539),ISNUMBER(I539)),"数量×単価を使いました（金額の欄は使っていません）","")))))))</f>
        <v/>
      </c>
      <c r="N539" s="91">
        <f>IF(AND(B539&lt;&gt;"",B539='案件カード'!$C$3),COUNTIF($B$5:B539,'案件カード'!$C$3),"")</f>
        <v/>
      </c>
      <c r="O539" s="91">
        <f>IF(ISNUMBER(K539),IF(B539="",K539,IF(AND(ISNUMBER(MATCH(B539,'案件'!$A$6:$A$105,0)),OR(D539="材料費",D539="労務費",D539="外注費",D539="経費")),0,K539)),0)</f>
        <v/>
      </c>
    </row>
    <row r="540" ht="16" customHeight="1">
      <c r="A540" s="35" t="n"/>
      <c r="B540" s="36" t="n"/>
      <c r="C540" s="37">
        <f>IF(B540="","",IFERROR(INDEX('案件'!$B$6:$B$105,MATCH(B540,'案件'!$A$6:$A$105,0))&amp;"","（案件シートに無い番号）"))</f>
        <v/>
      </c>
      <c r="D540" s="36" t="n"/>
      <c r="E540" s="38" t="n"/>
      <c r="F540" s="39" t="n"/>
      <c r="G540" s="36" t="n"/>
      <c r="H540" s="40" t="n"/>
      <c r="I540" s="40" t="n"/>
      <c r="J540" s="41">
        <f>IF(ISNUMBER(H540),H540,IF(AND(D540="労務費",TRIM(E540)&lt;&gt;""),IFERROR(INDEX('設定'!$G$12:$G$31,MATCH(TRIM(E540),'設定'!$J$12:$J$31,0)),""),""))</f>
        <v/>
      </c>
      <c r="K540" s="30">
        <f>IF(AND(ISNUMBER(F540),ISNUMBER(J540)),ROUND(F540*J540,0),IF(ISNUMBER(I540),I540,""))</f>
        <v/>
      </c>
      <c r="L540" s="33" t="n"/>
      <c r="M540" s="34">
        <f>IF(COUNTA(A540:B540,D540:I540,L540)=0,"",IF(B540="","案件番号がありません",IF(ISNA(MATCH(B540,'案件'!$A$6:$A$105,0)),"案件シートに無い番号です",IF(NOT(OR(D540="材料費",D540="労務費",D540="外注費",D540="経費")),"費目を4つから選んでください",IF(K540="",IF(AND(ISNUMBER(F540),NOT(ISNUMBER(J540))),IF(D540="労務費","単価がありません（設定の作業者名と同じ書き方に）","単価がありません"),IF(AND(ISNUMBER(J540),NOT(ISNUMBER(F540))),"数量がありません","金額がありません")),IF(NOT(ISNUMBER(A540)),"日付がありません（月別集計に入りません）",IF(AND(ISNUMBER(F540),ISNUMBER(J540),ISNUMBER(I540)),"数量×単価を使いました（金額の欄は使っていません）","")))))))</f>
        <v/>
      </c>
      <c r="N540" s="91">
        <f>IF(AND(B540&lt;&gt;"",B540='案件カード'!$C$3),COUNTIF($B$5:B540,'案件カード'!$C$3),"")</f>
        <v/>
      </c>
      <c r="O540" s="91">
        <f>IF(ISNUMBER(K540),IF(B540="",K540,IF(AND(ISNUMBER(MATCH(B540,'案件'!$A$6:$A$105,0)),OR(D540="材料費",D540="労務費",D540="外注費",D540="経費")),0,K540)),0)</f>
        <v/>
      </c>
    </row>
    <row r="541" ht="16" customHeight="1">
      <c r="A541" s="35" t="n"/>
      <c r="B541" s="36" t="n"/>
      <c r="C541" s="37">
        <f>IF(B541="","",IFERROR(INDEX('案件'!$B$6:$B$105,MATCH(B541,'案件'!$A$6:$A$105,0))&amp;"","（案件シートに無い番号）"))</f>
        <v/>
      </c>
      <c r="D541" s="36" t="n"/>
      <c r="E541" s="38" t="n"/>
      <c r="F541" s="39" t="n"/>
      <c r="G541" s="36" t="n"/>
      <c r="H541" s="40" t="n"/>
      <c r="I541" s="40" t="n"/>
      <c r="J541" s="41">
        <f>IF(ISNUMBER(H541),H541,IF(AND(D541="労務費",TRIM(E541)&lt;&gt;""),IFERROR(INDEX('設定'!$G$12:$G$31,MATCH(TRIM(E541),'設定'!$J$12:$J$31,0)),""),""))</f>
        <v/>
      </c>
      <c r="K541" s="30">
        <f>IF(AND(ISNUMBER(F541),ISNUMBER(J541)),ROUND(F541*J541,0),IF(ISNUMBER(I541),I541,""))</f>
        <v/>
      </c>
      <c r="L541" s="33" t="n"/>
      <c r="M541" s="34">
        <f>IF(COUNTA(A541:B541,D541:I541,L541)=0,"",IF(B541="","案件番号がありません",IF(ISNA(MATCH(B541,'案件'!$A$6:$A$105,0)),"案件シートに無い番号です",IF(NOT(OR(D541="材料費",D541="労務費",D541="外注費",D541="経費")),"費目を4つから選んでください",IF(K541="",IF(AND(ISNUMBER(F541),NOT(ISNUMBER(J541))),IF(D541="労務費","単価がありません（設定の作業者名と同じ書き方に）","単価がありません"),IF(AND(ISNUMBER(J541),NOT(ISNUMBER(F541))),"数量がありません","金額がありません")),IF(NOT(ISNUMBER(A541)),"日付がありません（月別集計に入りません）",IF(AND(ISNUMBER(F541),ISNUMBER(J541),ISNUMBER(I541)),"数量×単価を使いました（金額の欄は使っていません）","")))))))</f>
        <v/>
      </c>
      <c r="N541" s="91">
        <f>IF(AND(B541&lt;&gt;"",B541='案件カード'!$C$3),COUNTIF($B$5:B541,'案件カード'!$C$3),"")</f>
        <v/>
      </c>
      <c r="O541" s="91">
        <f>IF(ISNUMBER(K541),IF(B541="",K541,IF(AND(ISNUMBER(MATCH(B541,'案件'!$A$6:$A$105,0)),OR(D541="材料費",D541="労務費",D541="外注費",D541="経費")),0,K541)),0)</f>
        <v/>
      </c>
    </row>
    <row r="542" ht="16" customHeight="1">
      <c r="A542" s="35" t="n"/>
      <c r="B542" s="36" t="n"/>
      <c r="C542" s="37">
        <f>IF(B542="","",IFERROR(INDEX('案件'!$B$6:$B$105,MATCH(B542,'案件'!$A$6:$A$105,0))&amp;"","（案件シートに無い番号）"))</f>
        <v/>
      </c>
      <c r="D542" s="36" t="n"/>
      <c r="E542" s="38" t="n"/>
      <c r="F542" s="39" t="n"/>
      <c r="G542" s="36" t="n"/>
      <c r="H542" s="40" t="n"/>
      <c r="I542" s="40" t="n"/>
      <c r="J542" s="41">
        <f>IF(ISNUMBER(H542),H542,IF(AND(D542="労務費",TRIM(E542)&lt;&gt;""),IFERROR(INDEX('設定'!$G$12:$G$31,MATCH(TRIM(E542),'設定'!$J$12:$J$31,0)),""),""))</f>
        <v/>
      </c>
      <c r="K542" s="30">
        <f>IF(AND(ISNUMBER(F542),ISNUMBER(J542)),ROUND(F542*J542,0),IF(ISNUMBER(I542),I542,""))</f>
        <v/>
      </c>
      <c r="L542" s="33" t="n"/>
      <c r="M542" s="34">
        <f>IF(COUNTA(A542:B542,D542:I542,L542)=0,"",IF(B542="","案件番号がありません",IF(ISNA(MATCH(B542,'案件'!$A$6:$A$105,0)),"案件シートに無い番号です",IF(NOT(OR(D542="材料費",D542="労務費",D542="外注費",D542="経費")),"費目を4つから選んでください",IF(K542="",IF(AND(ISNUMBER(F542),NOT(ISNUMBER(J542))),IF(D542="労務費","単価がありません（設定の作業者名と同じ書き方に）","単価がありません"),IF(AND(ISNUMBER(J542),NOT(ISNUMBER(F542))),"数量がありません","金額がありません")),IF(NOT(ISNUMBER(A542)),"日付がありません（月別集計に入りません）",IF(AND(ISNUMBER(F542),ISNUMBER(J542),ISNUMBER(I542)),"数量×単価を使いました（金額の欄は使っていません）","")))))))</f>
        <v/>
      </c>
      <c r="N542" s="91">
        <f>IF(AND(B542&lt;&gt;"",B542='案件カード'!$C$3),COUNTIF($B$5:B542,'案件カード'!$C$3),"")</f>
        <v/>
      </c>
      <c r="O542" s="91">
        <f>IF(ISNUMBER(K542),IF(B542="",K542,IF(AND(ISNUMBER(MATCH(B542,'案件'!$A$6:$A$105,0)),OR(D542="材料費",D542="労務費",D542="外注費",D542="経費")),0,K542)),0)</f>
        <v/>
      </c>
    </row>
    <row r="543" ht="16" customHeight="1">
      <c r="A543" s="35" t="n"/>
      <c r="B543" s="36" t="n"/>
      <c r="C543" s="37">
        <f>IF(B543="","",IFERROR(INDEX('案件'!$B$6:$B$105,MATCH(B543,'案件'!$A$6:$A$105,0))&amp;"","（案件シートに無い番号）"))</f>
        <v/>
      </c>
      <c r="D543" s="36" t="n"/>
      <c r="E543" s="38" t="n"/>
      <c r="F543" s="39" t="n"/>
      <c r="G543" s="36" t="n"/>
      <c r="H543" s="40" t="n"/>
      <c r="I543" s="40" t="n"/>
      <c r="J543" s="41">
        <f>IF(ISNUMBER(H543),H543,IF(AND(D543="労務費",TRIM(E543)&lt;&gt;""),IFERROR(INDEX('設定'!$G$12:$G$31,MATCH(TRIM(E543),'設定'!$J$12:$J$31,0)),""),""))</f>
        <v/>
      </c>
      <c r="K543" s="30">
        <f>IF(AND(ISNUMBER(F543),ISNUMBER(J543)),ROUND(F543*J543,0),IF(ISNUMBER(I543),I543,""))</f>
        <v/>
      </c>
      <c r="L543" s="33" t="n"/>
      <c r="M543" s="34">
        <f>IF(COUNTA(A543:B543,D543:I543,L543)=0,"",IF(B543="","案件番号がありません",IF(ISNA(MATCH(B543,'案件'!$A$6:$A$105,0)),"案件シートに無い番号です",IF(NOT(OR(D543="材料費",D543="労務費",D543="外注費",D543="経費")),"費目を4つから選んでください",IF(K543="",IF(AND(ISNUMBER(F543),NOT(ISNUMBER(J543))),IF(D543="労務費","単価がありません（設定の作業者名と同じ書き方に）","単価がありません"),IF(AND(ISNUMBER(J543),NOT(ISNUMBER(F543))),"数量がありません","金額がありません")),IF(NOT(ISNUMBER(A543)),"日付がありません（月別集計に入りません）",IF(AND(ISNUMBER(F543),ISNUMBER(J543),ISNUMBER(I543)),"数量×単価を使いました（金額の欄は使っていません）","")))))))</f>
        <v/>
      </c>
      <c r="N543" s="91">
        <f>IF(AND(B543&lt;&gt;"",B543='案件カード'!$C$3),COUNTIF($B$5:B543,'案件カード'!$C$3),"")</f>
        <v/>
      </c>
      <c r="O543" s="91">
        <f>IF(ISNUMBER(K543),IF(B543="",K543,IF(AND(ISNUMBER(MATCH(B543,'案件'!$A$6:$A$105,0)),OR(D543="材料費",D543="労務費",D543="外注費",D543="経費")),0,K543)),0)</f>
        <v/>
      </c>
    </row>
    <row r="544" ht="16" customHeight="1">
      <c r="A544" s="35" t="n"/>
      <c r="B544" s="36" t="n"/>
      <c r="C544" s="37">
        <f>IF(B544="","",IFERROR(INDEX('案件'!$B$6:$B$105,MATCH(B544,'案件'!$A$6:$A$105,0))&amp;"","（案件シートに無い番号）"))</f>
        <v/>
      </c>
      <c r="D544" s="36" t="n"/>
      <c r="E544" s="38" t="n"/>
      <c r="F544" s="39" t="n"/>
      <c r="G544" s="36" t="n"/>
      <c r="H544" s="40" t="n"/>
      <c r="I544" s="40" t="n"/>
      <c r="J544" s="41">
        <f>IF(ISNUMBER(H544),H544,IF(AND(D544="労務費",TRIM(E544)&lt;&gt;""),IFERROR(INDEX('設定'!$G$12:$G$31,MATCH(TRIM(E544),'設定'!$J$12:$J$31,0)),""),""))</f>
        <v/>
      </c>
      <c r="K544" s="30">
        <f>IF(AND(ISNUMBER(F544),ISNUMBER(J544)),ROUND(F544*J544,0),IF(ISNUMBER(I544),I544,""))</f>
        <v/>
      </c>
      <c r="L544" s="33" t="n"/>
      <c r="M544" s="34">
        <f>IF(COUNTA(A544:B544,D544:I544,L544)=0,"",IF(B544="","案件番号がありません",IF(ISNA(MATCH(B544,'案件'!$A$6:$A$105,0)),"案件シートに無い番号です",IF(NOT(OR(D544="材料費",D544="労務費",D544="外注費",D544="経費")),"費目を4つから選んでください",IF(K544="",IF(AND(ISNUMBER(F544),NOT(ISNUMBER(J544))),IF(D544="労務費","単価がありません（設定の作業者名と同じ書き方に）","単価がありません"),IF(AND(ISNUMBER(J544),NOT(ISNUMBER(F544))),"数量がありません","金額がありません")),IF(NOT(ISNUMBER(A544)),"日付がありません（月別集計に入りません）",IF(AND(ISNUMBER(F544),ISNUMBER(J544),ISNUMBER(I544)),"数量×単価を使いました（金額の欄は使っていません）","")))))))</f>
        <v/>
      </c>
      <c r="N544" s="91">
        <f>IF(AND(B544&lt;&gt;"",B544='案件カード'!$C$3),COUNTIF($B$5:B544,'案件カード'!$C$3),"")</f>
        <v/>
      </c>
      <c r="O544" s="91">
        <f>IF(ISNUMBER(K544),IF(B544="",K544,IF(AND(ISNUMBER(MATCH(B544,'案件'!$A$6:$A$105,0)),OR(D544="材料費",D544="労務費",D544="外注費",D544="経費")),0,K544)),0)</f>
        <v/>
      </c>
    </row>
    <row r="545" ht="16" customHeight="1">
      <c r="A545" s="35" t="n"/>
      <c r="B545" s="36" t="n"/>
      <c r="C545" s="37">
        <f>IF(B545="","",IFERROR(INDEX('案件'!$B$6:$B$105,MATCH(B545,'案件'!$A$6:$A$105,0))&amp;"","（案件シートに無い番号）"))</f>
        <v/>
      </c>
      <c r="D545" s="36" t="n"/>
      <c r="E545" s="38" t="n"/>
      <c r="F545" s="39" t="n"/>
      <c r="G545" s="36" t="n"/>
      <c r="H545" s="40" t="n"/>
      <c r="I545" s="40" t="n"/>
      <c r="J545" s="41">
        <f>IF(ISNUMBER(H545),H545,IF(AND(D545="労務費",TRIM(E545)&lt;&gt;""),IFERROR(INDEX('設定'!$G$12:$G$31,MATCH(TRIM(E545),'設定'!$J$12:$J$31,0)),""),""))</f>
        <v/>
      </c>
      <c r="K545" s="30">
        <f>IF(AND(ISNUMBER(F545),ISNUMBER(J545)),ROUND(F545*J545,0),IF(ISNUMBER(I545),I545,""))</f>
        <v/>
      </c>
      <c r="L545" s="33" t="n"/>
      <c r="M545" s="34">
        <f>IF(COUNTA(A545:B545,D545:I545,L545)=0,"",IF(B545="","案件番号がありません",IF(ISNA(MATCH(B545,'案件'!$A$6:$A$105,0)),"案件シートに無い番号です",IF(NOT(OR(D545="材料費",D545="労務費",D545="外注費",D545="経費")),"費目を4つから選んでください",IF(K545="",IF(AND(ISNUMBER(F545),NOT(ISNUMBER(J545))),IF(D545="労務費","単価がありません（設定の作業者名と同じ書き方に）","単価がありません"),IF(AND(ISNUMBER(J545),NOT(ISNUMBER(F545))),"数量がありません","金額がありません")),IF(NOT(ISNUMBER(A545)),"日付がありません（月別集計に入りません）",IF(AND(ISNUMBER(F545),ISNUMBER(J545),ISNUMBER(I545)),"数量×単価を使いました（金額の欄は使っていません）","")))))))</f>
        <v/>
      </c>
      <c r="N545" s="91">
        <f>IF(AND(B545&lt;&gt;"",B545='案件カード'!$C$3),COUNTIF($B$5:B545,'案件カード'!$C$3),"")</f>
        <v/>
      </c>
      <c r="O545" s="91">
        <f>IF(ISNUMBER(K545),IF(B545="",K545,IF(AND(ISNUMBER(MATCH(B545,'案件'!$A$6:$A$105,0)),OR(D545="材料費",D545="労務費",D545="外注費",D545="経費")),0,K545)),0)</f>
        <v/>
      </c>
    </row>
    <row r="546" ht="16" customHeight="1">
      <c r="A546" s="35" t="n"/>
      <c r="B546" s="36" t="n"/>
      <c r="C546" s="37">
        <f>IF(B546="","",IFERROR(INDEX('案件'!$B$6:$B$105,MATCH(B546,'案件'!$A$6:$A$105,0))&amp;"","（案件シートに無い番号）"))</f>
        <v/>
      </c>
      <c r="D546" s="36" t="n"/>
      <c r="E546" s="38" t="n"/>
      <c r="F546" s="39" t="n"/>
      <c r="G546" s="36" t="n"/>
      <c r="H546" s="40" t="n"/>
      <c r="I546" s="40" t="n"/>
      <c r="J546" s="41">
        <f>IF(ISNUMBER(H546),H546,IF(AND(D546="労務費",TRIM(E546)&lt;&gt;""),IFERROR(INDEX('設定'!$G$12:$G$31,MATCH(TRIM(E546),'設定'!$J$12:$J$31,0)),""),""))</f>
        <v/>
      </c>
      <c r="K546" s="30">
        <f>IF(AND(ISNUMBER(F546),ISNUMBER(J546)),ROUND(F546*J546,0),IF(ISNUMBER(I546),I546,""))</f>
        <v/>
      </c>
      <c r="L546" s="33" t="n"/>
      <c r="M546" s="34">
        <f>IF(COUNTA(A546:B546,D546:I546,L546)=0,"",IF(B546="","案件番号がありません",IF(ISNA(MATCH(B546,'案件'!$A$6:$A$105,0)),"案件シートに無い番号です",IF(NOT(OR(D546="材料費",D546="労務費",D546="外注費",D546="経費")),"費目を4つから選んでください",IF(K546="",IF(AND(ISNUMBER(F546),NOT(ISNUMBER(J546))),IF(D546="労務費","単価がありません（設定の作業者名と同じ書き方に）","単価がありません"),IF(AND(ISNUMBER(J546),NOT(ISNUMBER(F546))),"数量がありません","金額がありません")),IF(NOT(ISNUMBER(A546)),"日付がありません（月別集計に入りません）",IF(AND(ISNUMBER(F546),ISNUMBER(J546),ISNUMBER(I546)),"数量×単価を使いました（金額の欄は使っていません）","")))))))</f>
        <v/>
      </c>
      <c r="N546" s="91">
        <f>IF(AND(B546&lt;&gt;"",B546='案件カード'!$C$3),COUNTIF($B$5:B546,'案件カード'!$C$3),"")</f>
        <v/>
      </c>
      <c r="O546" s="91">
        <f>IF(ISNUMBER(K546),IF(B546="",K546,IF(AND(ISNUMBER(MATCH(B546,'案件'!$A$6:$A$105,0)),OR(D546="材料費",D546="労務費",D546="外注費",D546="経費")),0,K546)),0)</f>
        <v/>
      </c>
    </row>
    <row r="547" ht="16" customHeight="1">
      <c r="A547" s="35" t="n"/>
      <c r="B547" s="36" t="n"/>
      <c r="C547" s="37">
        <f>IF(B547="","",IFERROR(INDEX('案件'!$B$6:$B$105,MATCH(B547,'案件'!$A$6:$A$105,0))&amp;"","（案件シートに無い番号）"))</f>
        <v/>
      </c>
      <c r="D547" s="36" t="n"/>
      <c r="E547" s="38" t="n"/>
      <c r="F547" s="39" t="n"/>
      <c r="G547" s="36" t="n"/>
      <c r="H547" s="40" t="n"/>
      <c r="I547" s="40" t="n"/>
      <c r="J547" s="41">
        <f>IF(ISNUMBER(H547),H547,IF(AND(D547="労務費",TRIM(E547)&lt;&gt;""),IFERROR(INDEX('設定'!$G$12:$G$31,MATCH(TRIM(E547),'設定'!$J$12:$J$31,0)),""),""))</f>
        <v/>
      </c>
      <c r="K547" s="30">
        <f>IF(AND(ISNUMBER(F547),ISNUMBER(J547)),ROUND(F547*J547,0),IF(ISNUMBER(I547),I547,""))</f>
        <v/>
      </c>
      <c r="L547" s="33" t="n"/>
      <c r="M547" s="34">
        <f>IF(COUNTA(A547:B547,D547:I547,L547)=0,"",IF(B547="","案件番号がありません",IF(ISNA(MATCH(B547,'案件'!$A$6:$A$105,0)),"案件シートに無い番号です",IF(NOT(OR(D547="材料費",D547="労務費",D547="外注費",D547="経費")),"費目を4つから選んでください",IF(K547="",IF(AND(ISNUMBER(F547),NOT(ISNUMBER(J547))),IF(D547="労務費","単価がありません（設定の作業者名と同じ書き方に）","単価がありません"),IF(AND(ISNUMBER(J547),NOT(ISNUMBER(F547))),"数量がありません","金額がありません")),IF(NOT(ISNUMBER(A547)),"日付がありません（月別集計に入りません）",IF(AND(ISNUMBER(F547),ISNUMBER(J547),ISNUMBER(I547)),"数量×単価を使いました（金額の欄は使っていません）","")))))))</f>
        <v/>
      </c>
      <c r="N547" s="91">
        <f>IF(AND(B547&lt;&gt;"",B547='案件カード'!$C$3),COUNTIF($B$5:B547,'案件カード'!$C$3),"")</f>
        <v/>
      </c>
      <c r="O547" s="91">
        <f>IF(ISNUMBER(K547),IF(B547="",K547,IF(AND(ISNUMBER(MATCH(B547,'案件'!$A$6:$A$105,0)),OR(D547="材料費",D547="労務費",D547="外注費",D547="経費")),0,K547)),0)</f>
        <v/>
      </c>
    </row>
    <row r="548" ht="16" customHeight="1">
      <c r="A548" s="35" t="n"/>
      <c r="B548" s="36" t="n"/>
      <c r="C548" s="37">
        <f>IF(B548="","",IFERROR(INDEX('案件'!$B$6:$B$105,MATCH(B548,'案件'!$A$6:$A$105,0))&amp;"","（案件シートに無い番号）"))</f>
        <v/>
      </c>
      <c r="D548" s="36" t="n"/>
      <c r="E548" s="38" t="n"/>
      <c r="F548" s="39" t="n"/>
      <c r="G548" s="36" t="n"/>
      <c r="H548" s="40" t="n"/>
      <c r="I548" s="40" t="n"/>
      <c r="J548" s="41">
        <f>IF(ISNUMBER(H548),H548,IF(AND(D548="労務費",TRIM(E548)&lt;&gt;""),IFERROR(INDEX('設定'!$G$12:$G$31,MATCH(TRIM(E548),'設定'!$J$12:$J$31,0)),""),""))</f>
        <v/>
      </c>
      <c r="K548" s="30">
        <f>IF(AND(ISNUMBER(F548),ISNUMBER(J548)),ROUND(F548*J548,0),IF(ISNUMBER(I548),I548,""))</f>
        <v/>
      </c>
      <c r="L548" s="33" t="n"/>
      <c r="M548" s="34">
        <f>IF(COUNTA(A548:B548,D548:I548,L548)=0,"",IF(B548="","案件番号がありません",IF(ISNA(MATCH(B548,'案件'!$A$6:$A$105,0)),"案件シートに無い番号です",IF(NOT(OR(D548="材料費",D548="労務費",D548="外注費",D548="経費")),"費目を4つから選んでください",IF(K548="",IF(AND(ISNUMBER(F548),NOT(ISNUMBER(J548))),IF(D548="労務費","単価がありません（設定の作業者名と同じ書き方に）","単価がありません"),IF(AND(ISNUMBER(J548),NOT(ISNUMBER(F548))),"数量がありません","金額がありません")),IF(NOT(ISNUMBER(A548)),"日付がありません（月別集計に入りません）",IF(AND(ISNUMBER(F548),ISNUMBER(J548),ISNUMBER(I548)),"数量×単価を使いました（金額の欄は使っていません）","")))))))</f>
        <v/>
      </c>
      <c r="N548" s="91">
        <f>IF(AND(B548&lt;&gt;"",B548='案件カード'!$C$3),COUNTIF($B$5:B548,'案件カード'!$C$3),"")</f>
        <v/>
      </c>
      <c r="O548" s="91">
        <f>IF(ISNUMBER(K548),IF(B548="",K548,IF(AND(ISNUMBER(MATCH(B548,'案件'!$A$6:$A$105,0)),OR(D548="材料費",D548="労務費",D548="外注費",D548="経費")),0,K548)),0)</f>
        <v/>
      </c>
    </row>
    <row r="549" ht="16" customHeight="1">
      <c r="A549" s="35" t="n"/>
      <c r="B549" s="36" t="n"/>
      <c r="C549" s="37">
        <f>IF(B549="","",IFERROR(INDEX('案件'!$B$6:$B$105,MATCH(B549,'案件'!$A$6:$A$105,0))&amp;"","（案件シートに無い番号）"))</f>
        <v/>
      </c>
      <c r="D549" s="36" t="n"/>
      <c r="E549" s="38" t="n"/>
      <c r="F549" s="39" t="n"/>
      <c r="G549" s="36" t="n"/>
      <c r="H549" s="40" t="n"/>
      <c r="I549" s="40" t="n"/>
      <c r="J549" s="41">
        <f>IF(ISNUMBER(H549),H549,IF(AND(D549="労務費",TRIM(E549)&lt;&gt;""),IFERROR(INDEX('設定'!$G$12:$G$31,MATCH(TRIM(E549),'設定'!$J$12:$J$31,0)),""),""))</f>
        <v/>
      </c>
      <c r="K549" s="30">
        <f>IF(AND(ISNUMBER(F549),ISNUMBER(J549)),ROUND(F549*J549,0),IF(ISNUMBER(I549),I549,""))</f>
        <v/>
      </c>
      <c r="L549" s="33" t="n"/>
      <c r="M549" s="34">
        <f>IF(COUNTA(A549:B549,D549:I549,L549)=0,"",IF(B549="","案件番号がありません",IF(ISNA(MATCH(B549,'案件'!$A$6:$A$105,0)),"案件シートに無い番号です",IF(NOT(OR(D549="材料費",D549="労務費",D549="外注費",D549="経費")),"費目を4つから選んでください",IF(K549="",IF(AND(ISNUMBER(F549),NOT(ISNUMBER(J549))),IF(D549="労務費","単価がありません（設定の作業者名と同じ書き方に）","単価がありません"),IF(AND(ISNUMBER(J549),NOT(ISNUMBER(F549))),"数量がありません","金額がありません")),IF(NOT(ISNUMBER(A549)),"日付がありません（月別集計に入りません）",IF(AND(ISNUMBER(F549),ISNUMBER(J549),ISNUMBER(I549)),"数量×単価を使いました（金額の欄は使っていません）","")))))))</f>
        <v/>
      </c>
      <c r="N549" s="91">
        <f>IF(AND(B549&lt;&gt;"",B549='案件カード'!$C$3),COUNTIF($B$5:B549,'案件カード'!$C$3),"")</f>
        <v/>
      </c>
      <c r="O549" s="91">
        <f>IF(ISNUMBER(K549),IF(B549="",K549,IF(AND(ISNUMBER(MATCH(B549,'案件'!$A$6:$A$105,0)),OR(D549="材料費",D549="労務費",D549="外注費",D549="経費")),0,K549)),0)</f>
        <v/>
      </c>
    </row>
    <row r="550" ht="16" customHeight="1">
      <c r="A550" s="35" t="n"/>
      <c r="B550" s="36" t="n"/>
      <c r="C550" s="37">
        <f>IF(B550="","",IFERROR(INDEX('案件'!$B$6:$B$105,MATCH(B550,'案件'!$A$6:$A$105,0))&amp;"","（案件シートに無い番号）"))</f>
        <v/>
      </c>
      <c r="D550" s="36" t="n"/>
      <c r="E550" s="38" t="n"/>
      <c r="F550" s="39" t="n"/>
      <c r="G550" s="36" t="n"/>
      <c r="H550" s="40" t="n"/>
      <c r="I550" s="40" t="n"/>
      <c r="J550" s="41">
        <f>IF(ISNUMBER(H550),H550,IF(AND(D550="労務費",TRIM(E550)&lt;&gt;""),IFERROR(INDEX('設定'!$G$12:$G$31,MATCH(TRIM(E550),'設定'!$J$12:$J$31,0)),""),""))</f>
        <v/>
      </c>
      <c r="K550" s="30">
        <f>IF(AND(ISNUMBER(F550),ISNUMBER(J550)),ROUND(F550*J550,0),IF(ISNUMBER(I550),I550,""))</f>
        <v/>
      </c>
      <c r="L550" s="33" t="n"/>
      <c r="M550" s="34">
        <f>IF(COUNTA(A550:B550,D550:I550,L550)=0,"",IF(B550="","案件番号がありません",IF(ISNA(MATCH(B550,'案件'!$A$6:$A$105,0)),"案件シートに無い番号です",IF(NOT(OR(D550="材料費",D550="労務費",D550="外注費",D550="経費")),"費目を4つから選んでください",IF(K550="",IF(AND(ISNUMBER(F550),NOT(ISNUMBER(J550))),IF(D550="労務費","単価がありません（設定の作業者名と同じ書き方に）","単価がありません"),IF(AND(ISNUMBER(J550),NOT(ISNUMBER(F550))),"数量がありません","金額がありません")),IF(NOT(ISNUMBER(A550)),"日付がありません（月別集計に入りません）",IF(AND(ISNUMBER(F550),ISNUMBER(J550),ISNUMBER(I550)),"数量×単価を使いました（金額の欄は使っていません）","")))))))</f>
        <v/>
      </c>
      <c r="N550" s="91">
        <f>IF(AND(B550&lt;&gt;"",B550='案件カード'!$C$3),COUNTIF($B$5:B550,'案件カード'!$C$3),"")</f>
        <v/>
      </c>
      <c r="O550" s="91">
        <f>IF(ISNUMBER(K550),IF(B550="",K550,IF(AND(ISNUMBER(MATCH(B550,'案件'!$A$6:$A$105,0)),OR(D550="材料費",D550="労務費",D550="外注費",D550="経費")),0,K550)),0)</f>
        <v/>
      </c>
    </row>
    <row r="551" ht="16" customHeight="1">
      <c r="A551" s="35" t="n"/>
      <c r="B551" s="36" t="n"/>
      <c r="C551" s="37">
        <f>IF(B551="","",IFERROR(INDEX('案件'!$B$6:$B$105,MATCH(B551,'案件'!$A$6:$A$105,0))&amp;"","（案件シートに無い番号）"))</f>
        <v/>
      </c>
      <c r="D551" s="36" t="n"/>
      <c r="E551" s="38" t="n"/>
      <c r="F551" s="39" t="n"/>
      <c r="G551" s="36" t="n"/>
      <c r="H551" s="40" t="n"/>
      <c r="I551" s="40" t="n"/>
      <c r="J551" s="41">
        <f>IF(ISNUMBER(H551),H551,IF(AND(D551="労務費",TRIM(E551)&lt;&gt;""),IFERROR(INDEX('設定'!$G$12:$G$31,MATCH(TRIM(E551),'設定'!$J$12:$J$31,0)),""),""))</f>
        <v/>
      </c>
      <c r="K551" s="30">
        <f>IF(AND(ISNUMBER(F551),ISNUMBER(J551)),ROUND(F551*J551,0),IF(ISNUMBER(I551),I551,""))</f>
        <v/>
      </c>
      <c r="L551" s="33" t="n"/>
      <c r="M551" s="34">
        <f>IF(COUNTA(A551:B551,D551:I551,L551)=0,"",IF(B551="","案件番号がありません",IF(ISNA(MATCH(B551,'案件'!$A$6:$A$105,0)),"案件シートに無い番号です",IF(NOT(OR(D551="材料費",D551="労務費",D551="外注費",D551="経費")),"費目を4つから選んでください",IF(K551="",IF(AND(ISNUMBER(F551),NOT(ISNUMBER(J551))),IF(D551="労務費","単価がありません（設定の作業者名と同じ書き方に）","単価がありません"),IF(AND(ISNUMBER(J551),NOT(ISNUMBER(F551))),"数量がありません","金額がありません")),IF(NOT(ISNUMBER(A551)),"日付がありません（月別集計に入りません）",IF(AND(ISNUMBER(F551),ISNUMBER(J551),ISNUMBER(I551)),"数量×単価を使いました（金額の欄は使っていません）","")))))))</f>
        <v/>
      </c>
      <c r="N551" s="91">
        <f>IF(AND(B551&lt;&gt;"",B551='案件カード'!$C$3),COUNTIF($B$5:B551,'案件カード'!$C$3),"")</f>
        <v/>
      </c>
      <c r="O551" s="91">
        <f>IF(ISNUMBER(K551),IF(B551="",K551,IF(AND(ISNUMBER(MATCH(B551,'案件'!$A$6:$A$105,0)),OR(D551="材料費",D551="労務費",D551="外注費",D551="経費")),0,K551)),0)</f>
        <v/>
      </c>
    </row>
    <row r="552" ht="16" customHeight="1">
      <c r="A552" s="35" t="n"/>
      <c r="B552" s="36" t="n"/>
      <c r="C552" s="37">
        <f>IF(B552="","",IFERROR(INDEX('案件'!$B$6:$B$105,MATCH(B552,'案件'!$A$6:$A$105,0))&amp;"","（案件シートに無い番号）"))</f>
        <v/>
      </c>
      <c r="D552" s="36" t="n"/>
      <c r="E552" s="38" t="n"/>
      <c r="F552" s="39" t="n"/>
      <c r="G552" s="36" t="n"/>
      <c r="H552" s="40" t="n"/>
      <c r="I552" s="40" t="n"/>
      <c r="J552" s="41">
        <f>IF(ISNUMBER(H552),H552,IF(AND(D552="労務費",TRIM(E552)&lt;&gt;""),IFERROR(INDEX('設定'!$G$12:$G$31,MATCH(TRIM(E552),'設定'!$J$12:$J$31,0)),""),""))</f>
        <v/>
      </c>
      <c r="K552" s="30">
        <f>IF(AND(ISNUMBER(F552),ISNUMBER(J552)),ROUND(F552*J552,0),IF(ISNUMBER(I552),I552,""))</f>
        <v/>
      </c>
      <c r="L552" s="33" t="n"/>
      <c r="M552" s="34">
        <f>IF(COUNTA(A552:B552,D552:I552,L552)=0,"",IF(B552="","案件番号がありません",IF(ISNA(MATCH(B552,'案件'!$A$6:$A$105,0)),"案件シートに無い番号です",IF(NOT(OR(D552="材料費",D552="労務費",D552="外注費",D552="経費")),"費目を4つから選んでください",IF(K552="",IF(AND(ISNUMBER(F552),NOT(ISNUMBER(J552))),IF(D552="労務費","単価がありません（設定の作業者名と同じ書き方に）","単価がありません"),IF(AND(ISNUMBER(J552),NOT(ISNUMBER(F552))),"数量がありません","金額がありません")),IF(NOT(ISNUMBER(A552)),"日付がありません（月別集計に入りません）",IF(AND(ISNUMBER(F552),ISNUMBER(J552),ISNUMBER(I552)),"数量×単価を使いました（金額の欄は使っていません）","")))))))</f>
        <v/>
      </c>
      <c r="N552" s="91">
        <f>IF(AND(B552&lt;&gt;"",B552='案件カード'!$C$3),COUNTIF($B$5:B552,'案件カード'!$C$3),"")</f>
        <v/>
      </c>
      <c r="O552" s="91">
        <f>IF(ISNUMBER(K552),IF(B552="",K552,IF(AND(ISNUMBER(MATCH(B552,'案件'!$A$6:$A$105,0)),OR(D552="材料費",D552="労務費",D552="外注費",D552="経費")),0,K552)),0)</f>
        <v/>
      </c>
    </row>
    <row r="553" ht="16" customHeight="1">
      <c r="A553" s="35" t="n"/>
      <c r="B553" s="36" t="n"/>
      <c r="C553" s="37">
        <f>IF(B553="","",IFERROR(INDEX('案件'!$B$6:$B$105,MATCH(B553,'案件'!$A$6:$A$105,0))&amp;"","（案件シートに無い番号）"))</f>
        <v/>
      </c>
      <c r="D553" s="36" t="n"/>
      <c r="E553" s="38" t="n"/>
      <c r="F553" s="39" t="n"/>
      <c r="G553" s="36" t="n"/>
      <c r="H553" s="40" t="n"/>
      <c r="I553" s="40" t="n"/>
      <c r="J553" s="41">
        <f>IF(ISNUMBER(H553),H553,IF(AND(D553="労務費",TRIM(E553)&lt;&gt;""),IFERROR(INDEX('設定'!$G$12:$G$31,MATCH(TRIM(E553),'設定'!$J$12:$J$31,0)),""),""))</f>
        <v/>
      </c>
      <c r="K553" s="30">
        <f>IF(AND(ISNUMBER(F553),ISNUMBER(J553)),ROUND(F553*J553,0),IF(ISNUMBER(I553),I553,""))</f>
        <v/>
      </c>
      <c r="L553" s="33" t="n"/>
      <c r="M553" s="34">
        <f>IF(COUNTA(A553:B553,D553:I553,L553)=0,"",IF(B553="","案件番号がありません",IF(ISNA(MATCH(B553,'案件'!$A$6:$A$105,0)),"案件シートに無い番号です",IF(NOT(OR(D553="材料費",D553="労務費",D553="外注費",D553="経費")),"費目を4つから選んでください",IF(K553="",IF(AND(ISNUMBER(F553),NOT(ISNUMBER(J553))),IF(D553="労務費","単価がありません（設定の作業者名と同じ書き方に）","単価がありません"),IF(AND(ISNUMBER(J553),NOT(ISNUMBER(F553))),"数量がありません","金額がありません")),IF(NOT(ISNUMBER(A553)),"日付がありません（月別集計に入りません）",IF(AND(ISNUMBER(F553),ISNUMBER(J553),ISNUMBER(I553)),"数量×単価を使いました（金額の欄は使っていません）","")))))))</f>
        <v/>
      </c>
      <c r="N553" s="91">
        <f>IF(AND(B553&lt;&gt;"",B553='案件カード'!$C$3),COUNTIF($B$5:B553,'案件カード'!$C$3),"")</f>
        <v/>
      </c>
      <c r="O553" s="91">
        <f>IF(ISNUMBER(K553),IF(B553="",K553,IF(AND(ISNUMBER(MATCH(B553,'案件'!$A$6:$A$105,0)),OR(D553="材料費",D553="労務費",D553="外注費",D553="経費")),0,K553)),0)</f>
        <v/>
      </c>
    </row>
    <row r="554" ht="16" customHeight="1">
      <c r="A554" s="35" t="n"/>
      <c r="B554" s="36" t="n"/>
      <c r="C554" s="37">
        <f>IF(B554="","",IFERROR(INDEX('案件'!$B$6:$B$105,MATCH(B554,'案件'!$A$6:$A$105,0))&amp;"","（案件シートに無い番号）"))</f>
        <v/>
      </c>
      <c r="D554" s="36" t="n"/>
      <c r="E554" s="38" t="n"/>
      <c r="F554" s="39" t="n"/>
      <c r="G554" s="36" t="n"/>
      <c r="H554" s="40" t="n"/>
      <c r="I554" s="40" t="n"/>
      <c r="J554" s="41">
        <f>IF(ISNUMBER(H554),H554,IF(AND(D554="労務費",TRIM(E554)&lt;&gt;""),IFERROR(INDEX('設定'!$G$12:$G$31,MATCH(TRIM(E554),'設定'!$J$12:$J$31,0)),""),""))</f>
        <v/>
      </c>
      <c r="K554" s="30">
        <f>IF(AND(ISNUMBER(F554),ISNUMBER(J554)),ROUND(F554*J554,0),IF(ISNUMBER(I554),I554,""))</f>
        <v/>
      </c>
      <c r="L554" s="33" t="n"/>
      <c r="M554" s="34">
        <f>IF(COUNTA(A554:B554,D554:I554,L554)=0,"",IF(B554="","案件番号がありません",IF(ISNA(MATCH(B554,'案件'!$A$6:$A$105,0)),"案件シートに無い番号です",IF(NOT(OR(D554="材料費",D554="労務費",D554="外注費",D554="経費")),"費目を4つから選んでください",IF(K554="",IF(AND(ISNUMBER(F554),NOT(ISNUMBER(J554))),IF(D554="労務費","単価がありません（設定の作業者名と同じ書き方に）","単価がありません"),IF(AND(ISNUMBER(J554),NOT(ISNUMBER(F554))),"数量がありません","金額がありません")),IF(NOT(ISNUMBER(A554)),"日付がありません（月別集計に入りません）",IF(AND(ISNUMBER(F554),ISNUMBER(J554),ISNUMBER(I554)),"数量×単価を使いました（金額の欄は使っていません）","")))))))</f>
        <v/>
      </c>
      <c r="N554" s="91">
        <f>IF(AND(B554&lt;&gt;"",B554='案件カード'!$C$3),COUNTIF($B$5:B554,'案件カード'!$C$3),"")</f>
        <v/>
      </c>
      <c r="O554" s="91">
        <f>IF(ISNUMBER(K554),IF(B554="",K554,IF(AND(ISNUMBER(MATCH(B554,'案件'!$A$6:$A$105,0)),OR(D554="材料費",D554="労務費",D554="外注費",D554="経費")),0,K554)),0)</f>
        <v/>
      </c>
    </row>
    <row r="555" ht="16" customHeight="1">
      <c r="A555" s="35" t="n"/>
      <c r="B555" s="36" t="n"/>
      <c r="C555" s="37">
        <f>IF(B555="","",IFERROR(INDEX('案件'!$B$6:$B$105,MATCH(B555,'案件'!$A$6:$A$105,0))&amp;"","（案件シートに無い番号）"))</f>
        <v/>
      </c>
      <c r="D555" s="36" t="n"/>
      <c r="E555" s="38" t="n"/>
      <c r="F555" s="39" t="n"/>
      <c r="G555" s="36" t="n"/>
      <c r="H555" s="40" t="n"/>
      <c r="I555" s="40" t="n"/>
      <c r="J555" s="41">
        <f>IF(ISNUMBER(H555),H555,IF(AND(D555="労務費",TRIM(E555)&lt;&gt;""),IFERROR(INDEX('設定'!$G$12:$G$31,MATCH(TRIM(E555),'設定'!$J$12:$J$31,0)),""),""))</f>
        <v/>
      </c>
      <c r="K555" s="30">
        <f>IF(AND(ISNUMBER(F555),ISNUMBER(J555)),ROUND(F555*J555,0),IF(ISNUMBER(I555),I555,""))</f>
        <v/>
      </c>
      <c r="L555" s="33" t="n"/>
      <c r="M555" s="34">
        <f>IF(COUNTA(A555:B555,D555:I555,L555)=0,"",IF(B555="","案件番号がありません",IF(ISNA(MATCH(B555,'案件'!$A$6:$A$105,0)),"案件シートに無い番号です",IF(NOT(OR(D555="材料費",D555="労務費",D555="外注費",D555="経費")),"費目を4つから選んでください",IF(K555="",IF(AND(ISNUMBER(F555),NOT(ISNUMBER(J555))),IF(D555="労務費","単価がありません（設定の作業者名と同じ書き方に）","単価がありません"),IF(AND(ISNUMBER(J555),NOT(ISNUMBER(F555))),"数量がありません","金額がありません")),IF(NOT(ISNUMBER(A555)),"日付がありません（月別集計に入りません）",IF(AND(ISNUMBER(F555),ISNUMBER(J555),ISNUMBER(I555)),"数量×単価を使いました（金額の欄は使っていません）","")))))))</f>
        <v/>
      </c>
      <c r="N555" s="91">
        <f>IF(AND(B555&lt;&gt;"",B555='案件カード'!$C$3),COUNTIF($B$5:B555,'案件カード'!$C$3),"")</f>
        <v/>
      </c>
      <c r="O555" s="91">
        <f>IF(ISNUMBER(K555),IF(B555="",K555,IF(AND(ISNUMBER(MATCH(B555,'案件'!$A$6:$A$105,0)),OR(D555="材料費",D555="労務費",D555="外注費",D555="経費")),0,K555)),0)</f>
        <v/>
      </c>
    </row>
    <row r="556" ht="16" customHeight="1">
      <c r="A556" s="35" t="n"/>
      <c r="B556" s="36" t="n"/>
      <c r="C556" s="37">
        <f>IF(B556="","",IFERROR(INDEX('案件'!$B$6:$B$105,MATCH(B556,'案件'!$A$6:$A$105,0))&amp;"","（案件シートに無い番号）"))</f>
        <v/>
      </c>
      <c r="D556" s="36" t="n"/>
      <c r="E556" s="38" t="n"/>
      <c r="F556" s="39" t="n"/>
      <c r="G556" s="36" t="n"/>
      <c r="H556" s="40" t="n"/>
      <c r="I556" s="40" t="n"/>
      <c r="J556" s="41">
        <f>IF(ISNUMBER(H556),H556,IF(AND(D556="労務費",TRIM(E556)&lt;&gt;""),IFERROR(INDEX('設定'!$G$12:$G$31,MATCH(TRIM(E556),'設定'!$J$12:$J$31,0)),""),""))</f>
        <v/>
      </c>
      <c r="K556" s="30">
        <f>IF(AND(ISNUMBER(F556),ISNUMBER(J556)),ROUND(F556*J556,0),IF(ISNUMBER(I556),I556,""))</f>
        <v/>
      </c>
      <c r="L556" s="33" t="n"/>
      <c r="M556" s="34">
        <f>IF(COUNTA(A556:B556,D556:I556,L556)=0,"",IF(B556="","案件番号がありません",IF(ISNA(MATCH(B556,'案件'!$A$6:$A$105,0)),"案件シートに無い番号です",IF(NOT(OR(D556="材料費",D556="労務費",D556="外注費",D556="経費")),"費目を4つから選んでください",IF(K556="",IF(AND(ISNUMBER(F556),NOT(ISNUMBER(J556))),IF(D556="労務費","単価がありません（設定の作業者名と同じ書き方に）","単価がありません"),IF(AND(ISNUMBER(J556),NOT(ISNUMBER(F556))),"数量がありません","金額がありません")),IF(NOT(ISNUMBER(A556)),"日付がありません（月別集計に入りません）",IF(AND(ISNUMBER(F556),ISNUMBER(J556),ISNUMBER(I556)),"数量×単価を使いました（金額の欄は使っていません）","")))))))</f>
        <v/>
      </c>
      <c r="N556" s="91">
        <f>IF(AND(B556&lt;&gt;"",B556='案件カード'!$C$3),COUNTIF($B$5:B556,'案件カード'!$C$3),"")</f>
        <v/>
      </c>
      <c r="O556" s="91">
        <f>IF(ISNUMBER(K556),IF(B556="",K556,IF(AND(ISNUMBER(MATCH(B556,'案件'!$A$6:$A$105,0)),OR(D556="材料費",D556="労務費",D556="外注費",D556="経費")),0,K556)),0)</f>
        <v/>
      </c>
    </row>
    <row r="557" ht="16" customHeight="1">
      <c r="A557" s="35" t="n"/>
      <c r="B557" s="36" t="n"/>
      <c r="C557" s="37">
        <f>IF(B557="","",IFERROR(INDEX('案件'!$B$6:$B$105,MATCH(B557,'案件'!$A$6:$A$105,0))&amp;"","（案件シートに無い番号）"))</f>
        <v/>
      </c>
      <c r="D557" s="36" t="n"/>
      <c r="E557" s="38" t="n"/>
      <c r="F557" s="39" t="n"/>
      <c r="G557" s="36" t="n"/>
      <c r="H557" s="40" t="n"/>
      <c r="I557" s="40" t="n"/>
      <c r="J557" s="41">
        <f>IF(ISNUMBER(H557),H557,IF(AND(D557="労務費",TRIM(E557)&lt;&gt;""),IFERROR(INDEX('設定'!$G$12:$G$31,MATCH(TRIM(E557),'設定'!$J$12:$J$31,0)),""),""))</f>
        <v/>
      </c>
      <c r="K557" s="30">
        <f>IF(AND(ISNUMBER(F557),ISNUMBER(J557)),ROUND(F557*J557,0),IF(ISNUMBER(I557),I557,""))</f>
        <v/>
      </c>
      <c r="L557" s="33" t="n"/>
      <c r="M557" s="34">
        <f>IF(COUNTA(A557:B557,D557:I557,L557)=0,"",IF(B557="","案件番号がありません",IF(ISNA(MATCH(B557,'案件'!$A$6:$A$105,0)),"案件シートに無い番号です",IF(NOT(OR(D557="材料費",D557="労務費",D557="外注費",D557="経費")),"費目を4つから選んでください",IF(K557="",IF(AND(ISNUMBER(F557),NOT(ISNUMBER(J557))),IF(D557="労務費","単価がありません（設定の作業者名と同じ書き方に）","単価がありません"),IF(AND(ISNUMBER(J557),NOT(ISNUMBER(F557))),"数量がありません","金額がありません")),IF(NOT(ISNUMBER(A557)),"日付がありません（月別集計に入りません）",IF(AND(ISNUMBER(F557),ISNUMBER(J557),ISNUMBER(I557)),"数量×単価を使いました（金額の欄は使っていません）","")))))))</f>
        <v/>
      </c>
      <c r="N557" s="91">
        <f>IF(AND(B557&lt;&gt;"",B557='案件カード'!$C$3),COUNTIF($B$5:B557,'案件カード'!$C$3),"")</f>
        <v/>
      </c>
      <c r="O557" s="91">
        <f>IF(ISNUMBER(K557),IF(B557="",K557,IF(AND(ISNUMBER(MATCH(B557,'案件'!$A$6:$A$105,0)),OR(D557="材料費",D557="労務費",D557="外注費",D557="経費")),0,K557)),0)</f>
        <v/>
      </c>
    </row>
    <row r="558" ht="16" customHeight="1">
      <c r="A558" s="35" t="n"/>
      <c r="B558" s="36" t="n"/>
      <c r="C558" s="37">
        <f>IF(B558="","",IFERROR(INDEX('案件'!$B$6:$B$105,MATCH(B558,'案件'!$A$6:$A$105,0))&amp;"","（案件シートに無い番号）"))</f>
        <v/>
      </c>
      <c r="D558" s="36" t="n"/>
      <c r="E558" s="38" t="n"/>
      <c r="F558" s="39" t="n"/>
      <c r="G558" s="36" t="n"/>
      <c r="H558" s="40" t="n"/>
      <c r="I558" s="40" t="n"/>
      <c r="J558" s="41">
        <f>IF(ISNUMBER(H558),H558,IF(AND(D558="労務費",TRIM(E558)&lt;&gt;""),IFERROR(INDEX('設定'!$G$12:$G$31,MATCH(TRIM(E558),'設定'!$J$12:$J$31,0)),""),""))</f>
        <v/>
      </c>
      <c r="K558" s="30">
        <f>IF(AND(ISNUMBER(F558),ISNUMBER(J558)),ROUND(F558*J558,0),IF(ISNUMBER(I558),I558,""))</f>
        <v/>
      </c>
      <c r="L558" s="33" t="n"/>
      <c r="M558" s="34">
        <f>IF(COUNTA(A558:B558,D558:I558,L558)=0,"",IF(B558="","案件番号がありません",IF(ISNA(MATCH(B558,'案件'!$A$6:$A$105,0)),"案件シートに無い番号です",IF(NOT(OR(D558="材料費",D558="労務費",D558="外注費",D558="経費")),"費目を4つから選んでください",IF(K558="",IF(AND(ISNUMBER(F558),NOT(ISNUMBER(J558))),IF(D558="労務費","単価がありません（設定の作業者名と同じ書き方に）","単価がありません"),IF(AND(ISNUMBER(J558),NOT(ISNUMBER(F558))),"数量がありません","金額がありません")),IF(NOT(ISNUMBER(A558)),"日付がありません（月別集計に入りません）",IF(AND(ISNUMBER(F558),ISNUMBER(J558),ISNUMBER(I558)),"数量×単価を使いました（金額の欄は使っていません）","")))))))</f>
        <v/>
      </c>
      <c r="N558" s="91">
        <f>IF(AND(B558&lt;&gt;"",B558='案件カード'!$C$3),COUNTIF($B$5:B558,'案件カード'!$C$3),"")</f>
        <v/>
      </c>
      <c r="O558" s="91">
        <f>IF(ISNUMBER(K558),IF(B558="",K558,IF(AND(ISNUMBER(MATCH(B558,'案件'!$A$6:$A$105,0)),OR(D558="材料費",D558="労務費",D558="外注費",D558="経費")),0,K558)),0)</f>
        <v/>
      </c>
    </row>
    <row r="559" ht="16" customHeight="1">
      <c r="A559" s="35" t="n"/>
      <c r="B559" s="36" t="n"/>
      <c r="C559" s="37">
        <f>IF(B559="","",IFERROR(INDEX('案件'!$B$6:$B$105,MATCH(B559,'案件'!$A$6:$A$105,0))&amp;"","（案件シートに無い番号）"))</f>
        <v/>
      </c>
      <c r="D559" s="36" t="n"/>
      <c r="E559" s="38" t="n"/>
      <c r="F559" s="39" t="n"/>
      <c r="G559" s="36" t="n"/>
      <c r="H559" s="40" t="n"/>
      <c r="I559" s="40" t="n"/>
      <c r="J559" s="41">
        <f>IF(ISNUMBER(H559),H559,IF(AND(D559="労務費",TRIM(E559)&lt;&gt;""),IFERROR(INDEX('設定'!$G$12:$G$31,MATCH(TRIM(E559),'設定'!$J$12:$J$31,0)),""),""))</f>
        <v/>
      </c>
      <c r="K559" s="30">
        <f>IF(AND(ISNUMBER(F559),ISNUMBER(J559)),ROUND(F559*J559,0),IF(ISNUMBER(I559),I559,""))</f>
        <v/>
      </c>
      <c r="L559" s="33" t="n"/>
      <c r="M559" s="34">
        <f>IF(COUNTA(A559:B559,D559:I559,L559)=0,"",IF(B559="","案件番号がありません",IF(ISNA(MATCH(B559,'案件'!$A$6:$A$105,0)),"案件シートに無い番号です",IF(NOT(OR(D559="材料費",D559="労務費",D559="外注費",D559="経費")),"費目を4つから選んでください",IF(K559="",IF(AND(ISNUMBER(F559),NOT(ISNUMBER(J559))),IF(D559="労務費","単価がありません（設定の作業者名と同じ書き方に）","単価がありません"),IF(AND(ISNUMBER(J559),NOT(ISNUMBER(F559))),"数量がありません","金額がありません")),IF(NOT(ISNUMBER(A559)),"日付がありません（月別集計に入りません）",IF(AND(ISNUMBER(F559),ISNUMBER(J559),ISNUMBER(I559)),"数量×単価を使いました（金額の欄は使っていません）","")))))))</f>
        <v/>
      </c>
      <c r="N559" s="91">
        <f>IF(AND(B559&lt;&gt;"",B559='案件カード'!$C$3),COUNTIF($B$5:B559,'案件カード'!$C$3),"")</f>
        <v/>
      </c>
      <c r="O559" s="91">
        <f>IF(ISNUMBER(K559),IF(B559="",K559,IF(AND(ISNUMBER(MATCH(B559,'案件'!$A$6:$A$105,0)),OR(D559="材料費",D559="労務費",D559="外注費",D559="経費")),0,K559)),0)</f>
        <v/>
      </c>
    </row>
    <row r="560" ht="16" customHeight="1">
      <c r="A560" s="35" t="n"/>
      <c r="B560" s="36" t="n"/>
      <c r="C560" s="37">
        <f>IF(B560="","",IFERROR(INDEX('案件'!$B$6:$B$105,MATCH(B560,'案件'!$A$6:$A$105,0))&amp;"","（案件シートに無い番号）"))</f>
        <v/>
      </c>
      <c r="D560" s="36" t="n"/>
      <c r="E560" s="38" t="n"/>
      <c r="F560" s="39" t="n"/>
      <c r="G560" s="36" t="n"/>
      <c r="H560" s="40" t="n"/>
      <c r="I560" s="40" t="n"/>
      <c r="J560" s="41">
        <f>IF(ISNUMBER(H560),H560,IF(AND(D560="労務費",TRIM(E560)&lt;&gt;""),IFERROR(INDEX('設定'!$G$12:$G$31,MATCH(TRIM(E560),'設定'!$J$12:$J$31,0)),""),""))</f>
        <v/>
      </c>
      <c r="K560" s="30">
        <f>IF(AND(ISNUMBER(F560),ISNUMBER(J560)),ROUND(F560*J560,0),IF(ISNUMBER(I560),I560,""))</f>
        <v/>
      </c>
      <c r="L560" s="33" t="n"/>
      <c r="M560" s="34">
        <f>IF(COUNTA(A560:B560,D560:I560,L560)=0,"",IF(B560="","案件番号がありません",IF(ISNA(MATCH(B560,'案件'!$A$6:$A$105,0)),"案件シートに無い番号です",IF(NOT(OR(D560="材料費",D560="労務費",D560="外注費",D560="経費")),"費目を4つから選んでください",IF(K560="",IF(AND(ISNUMBER(F560),NOT(ISNUMBER(J560))),IF(D560="労務費","単価がありません（設定の作業者名と同じ書き方に）","単価がありません"),IF(AND(ISNUMBER(J560),NOT(ISNUMBER(F560))),"数量がありません","金額がありません")),IF(NOT(ISNUMBER(A560)),"日付がありません（月別集計に入りません）",IF(AND(ISNUMBER(F560),ISNUMBER(J560),ISNUMBER(I560)),"数量×単価を使いました（金額の欄は使っていません）","")))))))</f>
        <v/>
      </c>
      <c r="N560" s="91">
        <f>IF(AND(B560&lt;&gt;"",B560='案件カード'!$C$3),COUNTIF($B$5:B560,'案件カード'!$C$3),"")</f>
        <v/>
      </c>
      <c r="O560" s="91">
        <f>IF(ISNUMBER(K560),IF(B560="",K560,IF(AND(ISNUMBER(MATCH(B560,'案件'!$A$6:$A$105,0)),OR(D560="材料費",D560="労務費",D560="外注費",D560="経費")),0,K560)),0)</f>
        <v/>
      </c>
    </row>
    <row r="561" ht="16" customHeight="1">
      <c r="A561" s="35" t="n"/>
      <c r="B561" s="36" t="n"/>
      <c r="C561" s="37">
        <f>IF(B561="","",IFERROR(INDEX('案件'!$B$6:$B$105,MATCH(B561,'案件'!$A$6:$A$105,0))&amp;"","（案件シートに無い番号）"))</f>
        <v/>
      </c>
      <c r="D561" s="36" t="n"/>
      <c r="E561" s="38" t="n"/>
      <c r="F561" s="39" t="n"/>
      <c r="G561" s="36" t="n"/>
      <c r="H561" s="40" t="n"/>
      <c r="I561" s="40" t="n"/>
      <c r="J561" s="41">
        <f>IF(ISNUMBER(H561),H561,IF(AND(D561="労務費",TRIM(E561)&lt;&gt;""),IFERROR(INDEX('設定'!$G$12:$G$31,MATCH(TRIM(E561),'設定'!$J$12:$J$31,0)),""),""))</f>
        <v/>
      </c>
      <c r="K561" s="30">
        <f>IF(AND(ISNUMBER(F561),ISNUMBER(J561)),ROUND(F561*J561,0),IF(ISNUMBER(I561),I561,""))</f>
        <v/>
      </c>
      <c r="L561" s="33" t="n"/>
      <c r="M561" s="34">
        <f>IF(COUNTA(A561:B561,D561:I561,L561)=0,"",IF(B561="","案件番号がありません",IF(ISNA(MATCH(B561,'案件'!$A$6:$A$105,0)),"案件シートに無い番号です",IF(NOT(OR(D561="材料費",D561="労務費",D561="外注費",D561="経費")),"費目を4つから選んでください",IF(K561="",IF(AND(ISNUMBER(F561),NOT(ISNUMBER(J561))),IF(D561="労務費","単価がありません（設定の作業者名と同じ書き方に）","単価がありません"),IF(AND(ISNUMBER(J561),NOT(ISNUMBER(F561))),"数量がありません","金額がありません")),IF(NOT(ISNUMBER(A561)),"日付がありません（月別集計に入りません）",IF(AND(ISNUMBER(F561),ISNUMBER(J561),ISNUMBER(I561)),"数量×単価を使いました（金額の欄は使っていません）","")))))))</f>
        <v/>
      </c>
      <c r="N561" s="91">
        <f>IF(AND(B561&lt;&gt;"",B561='案件カード'!$C$3),COUNTIF($B$5:B561,'案件カード'!$C$3),"")</f>
        <v/>
      </c>
      <c r="O561" s="91">
        <f>IF(ISNUMBER(K561),IF(B561="",K561,IF(AND(ISNUMBER(MATCH(B561,'案件'!$A$6:$A$105,0)),OR(D561="材料費",D561="労務費",D561="外注費",D561="経費")),0,K561)),0)</f>
        <v/>
      </c>
    </row>
    <row r="562" ht="16" customHeight="1">
      <c r="A562" s="35" t="n"/>
      <c r="B562" s="36" t="n"/>
      <c r="C562" s="37">
        <f>IF(B562="","",IFERROR(INDEX('案件'!$B$6:$B$105,MATCH(B562,'案件'!$A$6:$A$105,0))&amp;"","（案件シートに無い番号）"))</f>
        <v/>
      </c>
      <c r="D562" s="36" t="n"/>
      <c r="E562" s="38" t="n"/>
      <c r="F562" s="39" t="n"/>
      <c r="G562" s="36" t="n"/>
      <c r="H562" s="40" t="n"/>
      <c r="I562" s="40" t="n"/>
      <c r="J562" s="41">
        <f>IF(ISNUMBER(H562),H562,IF(AND(D562="労務費",TRIM(E562)&lt;&gt;""),IFERROR(INDEX('設定'!$G$12:$G$31,MATCH(TRIM(E562),'設定'!$J$12:$J$31,0)),""),""))</f>
        <v/>
      </c>
      <c r="K562" s="30">
        <f>IF(AND(ISNUMBER(F562),ISNUMBER(J562)),ROUND(F562*J562,0),IF(ISNUMBER(I562),I562,""))</f>
        <v/>
      </c>
      <c r="L562" s="33" t="n"/>
      <c r="M562" s="34">
        <f>IF(COUNTA(A562:B562,D562:I562,L562)=0,"",IF(B562="","案件番号がありません",IF(ISNA(MATCH(B562,'案件'!$A$6:$A$105,0)),"案件シートに無い番号です",IF(NOT(OR(D562="材料費",D562="労務費",D562="外注費",D562="経費")),"費目を4つから選んでください",IF(K562="",IF(AND(ISNUMBER(F562),NOT(ISNUMBER(J562))),IF(D562="労務費","単価がありません（設定の作業者名と同じ書き方に）","単価がありません"),IF(AND(ISNUMBER(J562),NOT(ISNUMBER(F562))),"数量がありません","金額がありません")),IF(NOT(ISNUMBER(A562)),"日付がありません（月別集計に入りません）",IF(AND(ISNUMBER(F562),ISNUMBER(J562),ISNUMBER(I562)),"数量×単価を使いました（金額の欄は使っていません）","")))))))</f>
        <v/>
      </c>
      <c r="N562" s="91">
        <f>IF(AND(B562&lt;&gt;"",B562='案件カード'!$C$3),COUNTIF($B$5:B562,'案件カード'!$C$3),"")</f>
        <v/>
      </c>
      <c r="O562" s="91">
        <f>IF(ISNUMBER(K562),IF(B562="",K562,IF(AND(ISNUMBER(MATCH(B562,'案件'!$A$6:$A$105,0)),OR(D562="材料費",D562="労務費",D562="外注費",D562="経費")),0,K562)),0)</f>
        <v/>
      </c>
    </row>
    <row r="563" ht="16" customHeight="1">
      <c r="A563" s="35" t="n"/>
      <c r="B563" s="36" t="n"/>
      <c r="C563" s="37">
        <f>IF(B563="","",IFERROR(INDEX('案件'!$B$6:$B$105,MATCH(B563,'案件'!$A$6:$A$105,0))&amp;"","（案件シートに無い番号）"))</f>
        <v/>
      </c>
      <c r="D563" s="36" t="n"/>
      <c r="E563" s="38" t="n"/>
      <c r="F563" s="39" t="n"/>
      <c r="G563" s="36" t="n"/>
      <c r="H563" s="40" t="n"/>
      <c r="I563" s="40" t="n"/>
      <c r="J563" s="41">
        <f>IF(ISNUMBER(H563),H563,IF(AND(D563="労務費",TRIM(E563)&lt;&gt;""),IFERROR(INDEX('設定'!$G$12:$G$31,MATCH(TRIM(E563),'設定'!$J$12:$J$31,0)),""),""))</f>
        <v/>
      </c>
      <c r="K563" s="30">
        <f>IF(AND(ISNUMBER(F563),ISNUMBER(J563)),ROUND(F563*J563,0),IF(ISNUMBER(I563),I563,""))</f>
        <v/>
      </c>
      <c r="L563" s="33" t="n"/>
      <c r="M563" s="34">
        <f>IF(COUNTA(A563:B563,D563:I563,L563)=0,"",IF(B563="","案件番号がありません",IF(ISNA(MATCH(B563,'案件'!$A$6:$A$105,0)),"案件シートに無い番号です",IF(NOT(OR(D563="材料費",D563="労務費",D563="外注費",D563="経費")),"費目を4つから選んでください",IF(K563="",IF(AND(ISNUMBER(F563),NOT(ISNUMBER(J563))),IF(D563="労務費","単価がありません（設定の作業者名と同じ書き方に）","単価がありません"),IF(AND(ISNUMBER(J563),NOT(ISNUMBER(F563))),"数量がありません","金額がありません")),IF(NOT(ISNUMBER(A563)),"日付がありません（月別集計に入りません）",IF(AND(ISNUMBER(F563),ISNUMBER(J563),ISNUMBER(I563)),"数量×単価を使いました（金額の欄は使っていません）","")))))))</f>
        <v/>
      </c>
      <c r="N563" s="91">
        <f>IF(AND(B563&lt;&gt;"",B563='案件カード'!$C$3),COUNTIF($B$5:B563,'案件カード'!$C$3),"")</f>
        <v/>
      </c>
      <c r="O563" s="91">
        <f>IF(ISNUMBER(K563),IF(B563="",K563,IF(AND(ISNUMBER(MATCH(B563,'案件'!$A$6:$A$105,0)),OR(D563="材料費",D563="労務費",D563="外注費",D563="経費")),0,K563)),0)</f>
        <v/>
      </c>
    </row>
    <row r="564" ht="16" customHeight="1">
      <c r="A564" s="35" t="n"/>
      <c r="B564" s="36" t="n"/>
      <c r="C564" s="37">
        <f>IF(B564="","",IFERROR(INDEX('案件'!$B$6:$B$105,MATCH(B564,'案件'!$A$6:$A$105,0))&amp;"","（案件シートに無い番号）"))</f>
        <v/>
      </c>
      <c r="D564" s="36" t="n"/>
      <c r="E564" s="38" t="n"/>
      <c r="F564" s="39" t="n"/>
      <c r="G564" s="36" t="n"/>
      <c r="H564" s="40" t="n"/>
      <c r="I564" s="40" t="n"/>
      <c r="J564" s="41">
        <f>IF(ISNUMBER(H564),H564,IF(AND(D564="労務費",TRIM(E564)&lt;&gt;""),IFERROR(INDEX('設定'!$G$12:$G$31,MATCH(TRIM(E564),'設定'!$J$12:$J$31,0)),""),""))</f>
        <v/>
      </c>
      <c r="K564" s="30">
        <f>IF(AND(ISNUMBER(F564),ISNUMBER(J564)),ROUND(F564*J564,0),IF(ISNUMBER(I564),I564,""))</f>
        <v/>
      </c>
      <c r="L564" s="33" t="n"/>
      <c r="M564" s="34">
        <f>IF(COUNTA(A564:B564,D564:I564,L564)=0,"",IF(B564="","案件番号がありません",IF(ISNA(MATCH(B564,'案件'!$A$6:$A$105,0)),"案件シートに無い番号です",IF(NOT(OR(D564="材料費",D564="労務費",D564="外注費",D564="経費")),"費目を4つから選んでください",IF(K564="",IF(AND(ISNUMBER(F564),NOT(ISNUMBER(J564))),IF(D564="労務費","単価がありません（設定の作業者名と同じ書き方に）","単価がありません"),IF(AND(ISNUMBER(J564),NOT(ISNUMBER(F564))),"数量がありません","金額がありません")),IF(NOT(ISNUMBER(A564)),"日付がありません（月別集計に入りません）",IF(AND(ISNUMBER(F564),ISNUMBER(J564),ISNUMBER(I564)),"数量×単価を使いました（金額の欄は使っていません）","")))))))</f>
        <v/>
      </c>
      <c r="N564" s="91">
        <f>IF(AND(B564&lt;&gt;"",B564='案件カード'!$C$3),COUNTIF($B$5:B564,'案件カード'!$C$3),"")</f>
        <v/>
      </c>
      <c r="O564" s="91">
        <f>IF(ISNUMBER(K564),IF(B564="",K564,IF(AND(ISNUMBER(MATCH(B564,'案件'!$A$6:$A$105,0)),OR(D564="材料費",D564="労務費",D564="外注費",D564="経費")),0,K564)),0)</f>
        <v/>
      </c>
    </row>
    <row r="565" ht="16" customHeight="1">
      <c r="A565" s="35" t="n"/>
      <c r="B565" s="36" t="n"/>
      <c r="C565" s="37">
        <f>IF(B565="","",IFERROR(INDEX('案件'!$B$6:$B$105,MATCH(B565,'案件'!$A$6:$A$105,0))&amp;"","（案件シートに無い番号）"))</f>
        <v/>
      </c>
      <c r="D565" s="36" t="n"/>
      <c r="E565" s="38" t="n"/>
      <c r="F565" s="39" t="n"/>
      <c r="G565" s="36" t="n"/>
      <c r="H565" s="40" t="n"/>
      <c r="I565" s="40" t="n"/>
      <c r="J565" s="41">
        <f>IF(ISNUMBER(H565),H565,IF(AND(D565="労務費",TRIM(E565)&lt;&gt;""),IFERROR(INDEX('設定'!$G$12:$G$31,MATCH(TRIM(E565),'設定'!$J$12:$J$31,0)),""),""))</f>
        <v/>
      </c>
      <c r="K565" s="30">
        <f>IF(AND(ISNUMBER(F565),ISNUMBER(J565)),ROUND(F565*J565,0),IF(ISNUMBER(I565),I565,""))</f>
        <v/>
      </c>
      <c r="L565" s="33" t="n"/>
      <c r="M565" s="34">
        <f>IF(COUNTA(A565:B565,D565:I565,L565)=0,"",IF(B565="","案件番号がありません",IF(ISNA(MATCH(B565,'案件'!$A$6:$A$105,0)),"案件シートに無い番号です",IF(NOT(OR(D565="材料費",D565="労務費",D565="外注費",D565="経費")),"費目を4つから選んでください",IF(K565="",IF(AND(ISNUMBER(F565),NOT(ISNUMBER(J565))),IF(D565="労務費","単価がありません（設定の作業者名と同じ書き方に）","単価がありません"),IF(AND(ISNUMBER(J565),NOT(ISNUMBER(F565))),"数量がありません","金額がありません")),IF(NOT(ISNUMBER(A565)),"日付がありません（月別集計に入りません）",IF(AND(ISNUMBER(F565),ISNUMBER(J565),ISNUMBER(I565)),"数量×単価を使いました（金額の欄は使っていません）","")))))))</f>
        <v/>
      </c>
      <c r="N565" s="91">
        <f>IF(AND(B565&lt;&gt;"",B565='案件カード'!$C$3),COUNTIF($B$5:B565,'案件カード'!$C$3),"")</f>
        <v/>
      </c>
      <c r="O565" s="91">
        <f>IF(ISNUMBER(K565),IF(B565="",K565,IF(AND(ISNUMBER(MATCH(B565,'案件'!$A$6:$A$105,0)),OR(D565="材料費",D565="労務費",D565="外注費",D565="経費")),0,K565)),0)</f>
        <v/>
      </c>
    </row>
    <row r="566" ht="16" customHeight="1">
      <c r="A566" s="35" t="n"/>
      <c r="B566" s="36" t="n"/>
      <c r="C566" s="37">
        <f>IF(B566="","",IFERROR(INDEX('案件'!$B$6:$B$105,MATCH(B566,'案件'!$A$6:$A$105,0))&amp;"","（案件シートに無い番号）"))</f>
        <v/>
      </c>
      <c r="D566" s="36" t="n"/>
      <c r="E566" s="38" t="n"/>
      <c r="F566" s="39" t="n"/>
      <c r="G566" s="36" t="n"/>
      <c r="H566" s="40" t="n"/>
      <c r="I566" s="40" t="n"/>
      <c r="J566" s="41">
        <f>IF(ISNUMBER(H566),H566,IF(AND(D566="労務費",TRIM(E566)&lt;&gt;""),IFERROR(INDEX('設定'!$G$12:$G$31,MATCH(TRIM(E566),'設定'!$J$12:$J$31,0)),""),""))</f>
        <v/>
      </c>
      <c r="K566" s="30">
        <f>IF(AND(ISNUMBER(F566),ISNUMBER(J566)),ROUND(F566*J566,0),IF(ISNUMBER(I566),I566,""))</f>
        <v/>
      </c>
      <c r="L566" s="33" t="n"/>
      <c r="M566" s="34">
        <f>IF(COUNTA(A566:B566,D566:I566,L566)=0,"",IF(B566="","案件番号がありません",IF(ISNA(MATCH(B566,'案件'!$A$6:$A$105,0)),"案件シートに無い番号です",IF(NOT(OR(D566="材料費",D566="労務費",D566="外注費",D566="経費")),"費目を4つから選んでください",IF(K566="",IF(AND(ISNUMBER(F566),NOT(ISNUMBER(J566))),IF(D566="労務費","単価がありません（設定の作業者名と同じ書き方に）","単価がありません"),IF(AND(ISNUMBER(J566),NOT(ISNUMBER(F566))),"数量がありません","金額がありません")),IF(NOT(ISNUMBER(A566)),"日付がありません（月別集計に入りません）",IF(AND(ISNUMBER(F566),ISNUMBER(J566),ISNUMBER(I566)),"数量×単価を使いました（金額の欄は使っていません）","")))))))</f>
        <v/>
      </c>
      <c r="N566" s="91">
        <f>IF(AND(B566&lt;&gt;"",B566='案件カード'!$C$3),COUNTIF($B$5:B566,'案件カード'!$C$3),"")</f>
        <v/>
      </c>
      <c r="O566" s="91">
        <f>IF(ISNUMBER(K566),IF(B566="",K566,IF(AND(ISNUMBER(MATCH(B566,'案件'!$A$6:$A$105,0)),OR(D566="材料費",D566="労務費",D566="外注費",D566="経費")),0,K566)),0)</f>
        <v/>
      </c>
    </row>
    <row r="567" ht="16" customHeight="1">
      <c r="A567" s="35" t="n"/>
      <c r="B567" s="36" t="n"/>
      <c r="C567" s="37">
        <f>IF(B567="","",IFERROR(INDEX('案件'!$B$6:$B$105,MATCH(B567,'案件'!$A$6:$A$105,0))&amp;"","（案件シートに無い番号）"))</f>
        <v/>
      </c>
      <c r="D567" s="36" t="n"/>
      <c r="E567" s="38" t="n"/>
      <c r="F567" s="39" t="n"/>
      <c r="G567" s="36" t="n"/>
      <c r="H567" s="40" t="n"/>
      <c r="I567" s="40" t="n"/>
      <c r="J567" s="41">
        <f>IF(ISNUMBER(H567),H567,IF(AND(D567="労務費",TRIM(E567)&lt;&gt;""),IFERROR(INDEX('設定'!$G$12:$G$31,MATCH(TRIM(E567),'設定'!$J$12:$J$31,0)),""),""))</f>
        <v/>
      </c>
      <c r="K567" s="30">
        <f>IF(AND(ISNUMBER(F567),ISNUMBER(J567)),ROUND(F567*J567,0),IF(ISNUMBER(I567),I567,""))</f>
        <v/>
      </c>
      <c r="L567" s="33" t="n"/>
      <c r="M567" s="34">
        <f>IF(COUNTA(A567:B567,D567:I567,L567)=0,"",IF(B567="","案件番号がありません",IF(ISNA(MATCH(B567,'案件'!$A$6:$A$105,0)),"案件シートに無い番号です",IF(NOT(OR(D567="材料費",D567="労務費",D567="外注費",D567="経費")),"費目を4つから選んでください",IF(K567="",IF(AND(ISNUMBER(F567),NOT(ISNUMBER(J567))),IF(D567="労務費","単価がありません（設定の作業者名と同じ書き方に）","単価がありません"),IF(AND(ISNUMBER(J567),NOT(ISNUMBER(F567))),"数量がありません","金額がありません")),IF(NOT(ISNUMBER(A567)),"日付がありません（月別集計に入りません）",IF(AND(ISNUMBER(F567),ISNUMBER(J567),ISNUMBER(I567)),"数量×単価を使いました（金額の欄は使っていません）","")))))))</f>
        <v/>
      </c>
      <c r="N567" s="91">
        <f>IF(AND(B567&lt;&gt;"",B567='案件カード'!$C$3),COUNTIF($B$5:B567,'案件カード'!$C$3),"")</f>
        <v/>
      </c>
      <c r="O567" s="91">
        <f>IF(ISNUMBER(K567),IF(B567="",K567,IF(AND(ISNUMBER(MATCH(B567,'案件'!$A$6:$A$105,0)),OR(D567="材料費",D567="労務費",D567="外注費",D567="経費")),0,K567)),0)</f>
        <v/>
      </c>
    </row>
    <row r="568" ht="16" customHeight="1">
      <c r="A568" s="35" t="n"/>
      <c r="B568" s="36" t="n"/>
      <c r="C568" s="37">
        <f>IF(B568="","",IFERROR(INDEX('案件'!$B$6:$B$105,MATCH(B568,'案件'!$A$6:$A$105,0))&amp;"","（案件シートに無い番号）"))</f>
        <v/>
      </c>
      <c r="D568" s="36" t="n"/>
      <c r="E568" s="38" t="n"/>
      <c r="F568" s="39" t="n"/>
      <c r="G568" s="36" t="n"/>
      <c r="H568" s="40" t="n"/>
      <c r="I568" s="40" t="n"/>
      <c r="J568" s="41">
        <f>IF(ISNUMBER(H568),H568,IF(AND(D568="労務費",TRIM(E568)&lt;&gt;""),IFERROR(INDEX('設定'!$G$12:$G$31,MATCH(TRIM(E568),'設定'!$J$12:$J$31,0)),""),""))</f>
        <v/>
      </c>
      <c r="K568" s="30">
        <f>IF(AND(ISNUMBER(F568),ISNUMBER(J568)),ROUND(F568*J568,0),IF(ISNUMBER(I568),I568,""))</f>
        <v/>
      </c>
      <c r="L568" s="33" t="n"/>
      <c r="M568" s="34">
        <f>IF(COUNTA(A568:B568,D568:I568,L568)=0,"",IF(B568="","案件番号がありません",IF(ISNA(MATCH(B568,'案件'!$A$6:$A$105,0)),"案件シートに無い番号です",IF(NOT(OR(D568="材料費",D568="労務費",D568="外注費",D568="経費")),"費目を4つから選んでください",IF(K568="",IF(AND(ISNUMBER(F568),NOT(ISNUMBER(J568))),IF(D568="労務費","単価がありません（設定の作業者名と同じ書き方に）","単価がありません"),IF(AND(ISNUMBER(J568),NOT(ISNUMBER(F568))),"数量がありません","金額がありません")),IF(NOT(ISNUMBER(A568)),"日付がありません（月別集計に入りません）",IF(AND(ISNUMBER(F568),ISNUMBER(J568),ISNUMBER(I568)),"数量×単価を使いました（金額の欄は使っていません）","")))))))</f>
        <v/>
      </c>
      <c r="N568" s="91">
        <f>IF(AND(B568&lt;&gt;"",B568='案件カード'!$C$3),COUNTIF($B$5:B568,'案件カード'!$C$3),"")</f>
        <v/>
      </c>
      <c r="O568" s="91">
        <f>IF(ISNUMBER(K568),IF(B568="",K568,IF(AND(ISNUMBER(MATCH(B568,'案件'!$A$6:$A$105,0)),OR(D568="材料費",D568="労務費",D568="外注費",D568="経費")),0,K568)),0)</f>
        <v/>
      </c>
    </row>
    <row r="569" ht="16" customHeight="1">
      <c r="A569" s="35" t="n"/>
      <c r="B569" s="36" t="n"/>
      <c r="C569" s="37">
        <f>IF(B569="","",IFERROR(INDEX('案件'!$B$6:$B$105,MATCH(B569,'案件'!$A$6:$A$105,0))&amp;"","（案件シートに無い番号）"))</f>
        <v/>
      </c>
      <c r="D569" s="36" t="n"/>
      <c r="E569" s="38" t="n"/>
      <c r="F569" s="39" t="n"/>
      <c r="G569" s="36" t="n"/>
      <c r="H569" s="40" t="n"/>
      <c r="I569" s="40" t="n"/>
      <c r="J569" s="41">
        <f>IF(ISNUMBER(H569),H569,IF(AND(D569="労務費",TRIM(E569)&lt;&gt;""),IFERROR(INDEX('設定'!$G$12:$G$31,MATCH(TRIM(E569),'設定'!$J$12:$J$31,0)),""),""))</f>
        <v/>
      </c>
      <c r="K569" s="30">
        <f>IF(AND(ISNUMBER(F569),ISNUMBER(J569)),ROUND(F569*J569,0),IF(ISNUMBER(I569),I569,""))</f>
        <v/>
      </c>
      <c r="L569" s="33" t="n"/>
      <c r="M569" s="34">
        <f>IF(COUNTA(A569:B569,D569:I569,L569)=0,"",IF(B569="","案件番号がありません",IF(ISNA(MATCH(B569,'案件'!$A$6:$A$105,0)),"案件シートに無い番号です",IF(NOT(OR(D569="材料費",D569="労務費",D569="外注費",D569="経費")),"費目を4つから選んでください",IF(K569="",IF(AND(ISNUMBER(F569),NOT(ISNUMBER(J569))),IF(D569="労務費","単価がありません（設定の作業者名と同じ書き方に）","単価がありません"),IF(AND(ISNUMBER(J569),NOT(ISNUMBER(F569))),"数量がありません","金額がありません")),IF(NOT(ISNUMBER(A569)),"日付がありません（月別集計に入りません）",IF(AND(ISNUMBER(F569),ISNUMBER(J569),ISNUMBER(I569)),"数量×単価を使いました（金額の欄は使っていません）","")))))))</f>
        <v/>
      </c>
      <c r="N569" s="91">
        <f>IF(AND(B569&lt;&gt;"",B569='案件カード'!$C$3),COUNTIF($B$5:B569,'案件カード'!$C$3),"")</f>
        <v/>
      </c>
      <c r="O569" s="91">
        <f>IF(ISNUMBER(K569),IF(B569="",K569,IF(AND(ISNUMBER(MATCH(B569,'案件'!$A$6:$A$105,0)),OR(D569="材料費",D569="労務費",D569="外注費",D569="経費")),0,K569)),0)</f>
        <v/>
      </c>
    </row>
    <row r="570" ht="16" customHeight="1">
      <c r="A570" s="35" t="n"/>
      <c r="B570" s="36" t="n"/>
      <c r="C570" s="37">
        <f>IF(B570="","",IFERROR(INDEX('案件'!$B$6:$B$105,MATCH(B570,'案件'!$A$6:$A$105,0))&amp;"","（案件シートに無い番号）"))</f>
        <v/>
      </c>
      <c r="D570" s="36" t="n"/>
      <c r="E570" s="38" t="n"/>
      <c r="F570" s="39" t="n"/>
      <c r="G570" s="36" t="n"/>
      <c r="H570" s="40" t="n"/>
      <c r="I570" s="40" t="n"/>
      <c r="J570" s="41">
        <f>IF(ISNUMBER(H570),H570,IF(AND(D570="労務費",TRIM(E570)&lt;&gt;""),IFERROR(INDEX('設定'!$G$12:$G$31,MATCH(TRIM(E570),'設定'!$J$12:$J$31,0)),""),""))</f>
        <v/>
      </c>
      <c r="K570" s="30">
        <f>IF(AND(ISNUMBER(F570),ISNUMBER(J570)),ROUND(F570*J570,0),IF(ISNUMBER(I570),I570,""))</f>
        <v/>
      </c>
      <c r="L570" s="33" t="n"/>
      <c r="M570" s="34">
        <f>IF(COUNTA(A570:B570,D570:I570,L570)=0,"",IF(B570="","案件番号がありません",IF(ISNA(MATCH(B570,'案件'!$A$6:$A$105,0)),"案件シートに無い番号です",IF(NOT(OR(D570="材料費",D570="労務費",D570="外注費",D570="経費")),"費目を4つから選んでください",IF(K570="",IF(AND(ISNUMBER(F570),NOT(ISNUMBER(J570))),IF(D570="労務費","単価がありません（設定の作業者名と同じ書き方に）","単価がありません"),IF(AND(ISNUMBER(J570),NOT(ISNUMBER(F570))),"数量がありません","金額がありません")),IF(NOT(ISNUMBER(A570)),"日付がありません（月別集計に入りません）",IF(AND(ISNUMBER(F570),ISNUMBER(J570),ISNUMBER(I570)),"数量×単価を使いました（金額の欄は使っていません）","")))))))</f>
        <v/>
      </c>
      <c r="N570" s="91">
        <f>IF(AND(B570&lt;&gt;"",B570='案件カード'!$C$3),COUNTIF($B$5:B570,'案件カード'!$C$3),"")</f>
        <v/>
      </c>
      <c r="O570" s="91">
        <f>IF(ISNUMBER(K570),IF(B570="",K570,IF(AND(ISNUMBER(MATCH(B570,'案件'!$A$6:$A$105,0)),OR(D570="材料費",D570="労務費",D570="外注費",D570="経費")),0,K570)),0)</f>
        <v/>
      </c>
    </row>
    <row r="571" ht="16" customHeight="1">
      <c r="A571" s="35" t="n"/>
      <c r="B571" s="36" t="n"/>
      <c r="C571" s="37">
        <f>IF(B571="","",IFERROR(INDEX('案件'!$B$6:$B$105,MATCH(B571,'案件'!$A$6:$A$105,0))&amp;"","（案件シートに無い番号）"))</f>
        <v/>
      </c>
      <c r="D571" s="36" t="n"/>
      <c r="E571" s="38" t="n"/>
      <c r="F571" s="39" t="n"/>
      <c r="G571" s="36" t="n"/>
      <c r="H571" s="40" t="n"/>
      <c r="I571" s="40" t="n"/>
      <c r="J571" s="41">
        <f>IF(ISNUMBER(H571),H571,IF(AND(D571="労務費",TRIM(E571)&lt;&gt;""),IFERROR(INDEX('設定'!$G$12:$G$31,MATCH(TRIM(E571),'設定'!$J$12:$J$31,0)),""),""))</f>
        <v/>
      </c>
      <c r="K571" s="30">
        <f>IF(AND(ISNUMBER(F571),ISNUMBER(J571)),ROUND(F571*J571,0),IF(ISNUMBER(I571),I571,""))</f>
        <v/>
      </c>
      <c r="L571" s="33" t="n"/>
      <c r="M571" s="34">
        <f>IF(COUNTA(A571:B571,D571:I571,L571)=0,"",IF(B571="","案件番号がありません",IF(ISNA(MATCH(B571,'案件'!$A$6:$A$105,0)),"案件シートに無い番号です",IF(NOT(OR(D571="材料費",D571="労務費",D571="外注費",D571="経費")),"費目を4つから選んでください",IF(K571="",IF(AND(ISNUMBER(F571),NOT(ISNUMBER(J571))),IF(D571="労務費","単価がありません（設定の作業者名と同じ書き方に）","単価がありません"),IF(AND(ISNUMBER(J571),NOT(ISNUMBER(F571))),"数量がありません","金額がありません")),IF(NOT(ISNUMBER(A571)),"日付がありません（月別集計に入りません）",IF(AND(ISNUMBER(F571),ISNUMBER(J571),ISNUMBER(I571)),"数量×単価を使いました（金額の欄は使っていません）","")))))))</f>
        <v/>
      </c>
      <c r="N571" s="91">
        <f>IF(AND(B571&lt;&gt;"",B571='案件カード'!$C$3),COUNTIF($B$5:B571,'案件カード'!$C$3),"")</f>
        <v/>
      </c>
      <c r="O571" s="91">
        <f>IF(ISNUMBER(K571),IF(B571="",K571,IF(AND(ISNUMBER(MATCH(B571,'案件'!$A$6:$A$105,0)),OR(D571="材料費",D571="労務費",D571="外注費",D571="経費")),0,K571)),0)</f>
        <v/>
      </c>
    </row>
    <row r="572" ht="16" customHeight="1">
      <c r="A572" s="35" t="n"/>
      <c r="B572" s="36" t="n"/>
      <c r="C572" s="37">
        <f>IF(B572="","",IFERROR(INDEX('案件'!$B$6:$B$105,MATCH(B572,'案件'!$A$6:$A$105,0))&amp;"","（案件シートに無い番号）"))</f>
        <v/>
      </c>
      <c r="D572" s="36" t="n"/>
      <c r="E572" s="38" t="n"/>
      <c r="F572" s="39" t="n"/>
      <c r="G572" s="36" t="n"/>
      <c r="H572" s="40" t="n"/>
      <c r="I572" s="40" t="n"/>
      <c r="J572" s="41">
        <f>IF(ISNUMBER(H572),H572,IF(AND(D572="労務費",TRIM(E572)&lt;&gt;""),IFERROR(INDEX('設定'!$G$12:$G$31,MATCH(TRIM(E572),'設定'!$J$12:$J$31,0)),""),""))</f>
        <v/>
      </c>
      <c r="K572" s="30">
        <f>IF(AND(ISNUMBER(F572),ISNUMBER(J572)),ROUND(F572*J572,0),IF(ISNUMBER(I572),I572,""))</f>
        <v/>
      </c>
      <c r="L572" s="33" t="n"/>
      <c r="M572" s="34">
        <f>IF(COUNTA(A572:B572,D572:I572,L572)=0,"",IF(B572="","案件番号がありません",IF(ISNA(MATCH(B572,'案件'!$A$6:$A$105,0)),"案件シートに無い番号です",IF(NOT(OR(D572="材料費",D572="労務費",D572="外注費",D572="経費")),"費目を4つから選んでください",IF(K572="",IF(AND(ISNUMBER(F572),NOT(ISNUMBER(J572))),IF(D572="労務費","単価がありません（設定の作業者名と同じ書き方に）","単価がありません"),IF(AND(ISNUMBER(J572),NOT(ISNUMBER(F572))),"数量がありません","金額がありません")),IF(NOT(ISNUMBER(A572)),"日付がありません（月別集計に入りません）",IF(AND(ISNUMBER(F572),ISNUMBER(J572),ISNUMBER(I572)),"数量×単価を使いました（金額の欄は使っていません）","")))))))</f>
        <v/>
      </c>
      <c r="N572" s="91">
        <f>IF(AND(B572&lt;&gt;"",B572='案件カード'!$C$3),COUNTIF($B$5:B572,'案件カード'!$C$3),"")</f>
        <v/>
      </c>
      <c r="O572" s="91">
        <f>IF(ISNUMBER(K572),IF(B572="",K572,IF(AND(ISNUMBER(MATCH(B572,'案件'!$A$6:$A$105,0)),OR(D572="材料費",D572="労務費",D572="外注費",D572="経費")),0,K572)),0)</f>
        <v/>
      </c>
    </row>
    <row r="573" ht="16" customHeight="1">
      <c r="A573" s="35" t="n"/>
      <c r="B573" s="36" t="n"/>
      <c r="C573" s="37">
        <f>IF(B573="","",IFERROR(INDEX('案件'!$B$6:$B$105,MATCH(B573,'案件'!$A$6:$A$105,0))&amp;"","（案件シートに無い番号）"))</f>
        <v/>
      </c>
      <c r="D573" s="36" t="n"/>
      <c r="E573" s="38" t="n"/>
      <c r="F573" s="39" t="n"/>
      <c r="G573" s="36" t="n"/>
      <c r="H573" s="40" t="n"/>
      <c r="I573" s="40" t="n"/>
      <c r="J573" s="41">
        <f>IF(ISNUMBER(H573),H573,IF(AND(D573="労務費",TRIM(E573)&lt;&gt;""),IFERROR(INDEX('設定'!$G$12:$G$31,MATCH(TRIM(E573),'設定'!$J$12:$J$31,0)),""),""))</f>
        <v/>
      </c>
      <c r="K573" s="30">
        <f>IF(AND(ISNUMBER(F573),ISNUMBER(J573)),ROUND(F573*J573,0),IF(ISNUMBER(I573),I573,""))</f>
        <v/>
      </c>
      <c r="L573" s="33" t="n"/>
      <c r="M573" s="34">
        <f>IF(COUNTA(A573:B573,D573:I573,L573)=0,"",IF(B573="","案件番号がありません",IF(ISNA(MATCH(B573,'案件'!$A$6:$A$105,0)),"案件シートに無い番号です",IF(NOT(OR(D573="材料費",D573="労務費",D573="外注費",D573="経費")),"費目を4つから選んでください",IF(K573="",IF(AND(ISNUMBER(F573),NOT(ISNUMBER(J573))),IF(D573="労務費","単価がありません（設定の作業者名と同じ書き方に）","単価がありません"),IF(AND(ISNUMBER(J573),NOT(ISNUMBER(F573))),"数量がありません","金額がありません")),IF(NOT(ISNUMBER(A573)),"日付がありません（月別集計に入りません）",IF(AND(ISNUMBER(F573),ISNUMBER(J573),ISNUMBER(I573)),"数量×単価を使いました（金額の欄は使っていません）","")))))))</f>
        <v/>
      </c>
      <c r="N573" s="91">
        <f>IF(AND(B573&lt;&gt;"",B573='案件カード'!$C$3),COUNTIF($B$5:B573,'案件カード'!$C$3),"")</f>
        <v/>
      </c>
      <c r="O573" s="91">
        <f>IF(ISNUMBER(K573),IF(B573="",K573,IF(AND(ISNUMBER(MATCH(B573,'案件'!$A$6:$A$105,0)),OR(D573="材料費",D573="労務費",D573="外注費",D573="経費")),0,K573)),0)</f>
        <v/>
      </c>
    </row>
    <row r="574" ht="16" customHeight="1">
      <c r="A574" s="35" t="n"/>
      <c r="B574" s="36" t="n"/>
      <c r="C574" s="37">
        <f>IF(B574="","",IFERROR(INDEX('案件'!$B$6:$B$105,MATCH(B574,'案件'!$A$6:$A$105,0))&amp;"","（案件シートに無い番号）"))</f>
        <v/>
      </c>
      <c r="D574" s="36" t="n"/>
      <c r="E574" s="38" t="n"/>
      <c r="F574" s="39" t="n"/>
      <c r="G574" s="36" t="n"/>
      <c r="H574" s="40" t="n"/>
      <c r="I574" s="40" t="n"/>
      <c r="J574" s="41">
        <f>IF(ISNUMBER(H574),H574,IF(AND(D574="労務費",TRIM(E574)&lt;&gt;""),IFERROR(INDEX('設定'!$G$12:$G$31,MATCH(TRIM(E574),'設定'!$J$12:$J$31,0)),""),""))</f>
        <v/>
      </c>
      <c r="K574" s="30">
        <f>IF(AND(ISNUMBER(F574),ISNUMBER(J574)),ROUND(F574*J574,0),IF(ISNUMBER(I574),I574,""))</f>
        <v/>
      </c>
      <c r="L574" s="33" t="n"/>
      <c r="M574" s="34">
        <f>IF(COUNTA(A574:B574,D574:I574,L574)=0,"",IF(B574="","案件番号がありません",IF(ISNA(MATCH(B574,'案件'!$A$6:$A$105,0)),"案件シートに無い番号です",IF(NOT(OR(D574="材料費",D574="労務費",D574="外注費",D574="経費")),"費目を4つから選んでください",IF(K574="",IF(AND(ISNUMBER(F574),NOT(ISNUMBER(J574))),IF(D574="労務費","単価がありません（設定の作業者名と同じ書き方に）","単価がありません"),IF(AND(ISNUMBER(J574),NOT(ISNUMBER(F574))),"数量がありません","金額がありません")),IF(NOT(ISNUMBER(A574)),"日付がありません（月別集計に入りません）",IF(AND(ISNUMBER(F574),ISNUMBER(J574),ISNUMBER(I574)),"数量×単価を使いました（金額の欄は使っていません）","")))))))</f>
        <v/>
      </c>
      <c r="N574" s="91">
        <f>IF(AND(B574&lt;&gt;"",B574='案件カード'!$C$3),COUNTIF($B$5:B574,'案件カード'!$C$3),"")</f>
        <v/>
      </c>
      <c r="O574" s="91">
        <f>IF(ISNUMBER(K574),IF(B574="",K574,IF(AND(ISNUMBER(MATCH(B574,'案件'!$A$6:$A$105,0)),OR(D574="材料費",D574="労務費",D574="外注費",D574="経費")),0,K574)),0)</f>
        <v/>
      </c>
    </row>
    <row r="575" ht="16" customHeight="1">
      <c r="A575" s="35" t="n"/>
      <c r="B575" s="36" t="n"/>
      <c r="C575" s="37">
        <f>IF(B575="","",IFERROR(INDEX('案件'!$B$6:$B$105,MATCH(B575,'案件'!$A$6:$A$105,0))&amp;"","（案件シートに無い番号）"))</f>
        <v/>
      </c>
      <c r="D575" s="36" t="n"/>
      <c r="E575" s="38" t="n"/>
      <c r="F575" s="39" t="n"/>
      <c r="G575" s="36" t="n"/>
      <c r="H575" s="40" t="n"/>
      <c r="I575" s="40" t="n"/>
      <c r="J575" s="41">
        <f>IF(ISNUMBER(H575),H575,IF(AND(D575="労務費",TRIM(E575)&lt;&gt;""),IFERROR(INDEX('設定'!$G$12:$G$31,MATCH(TRIM(E575),'設定'!$J$12:$J$31,0)),""),""))</f>
        <v/>
      </c>
      <c r="K575" s="30">
        <f>IF(AND(ISNUMBER(F575),ISNUMBER(J575)),ROUND(F575*J575,0),IF(ISNUMBER(I575),I575,""))</f>
        <v/>
      </c>
      <c r="L575" s="33" t="n"/>
      <c r="M575" s="34">
        <f>IF(COUNTA(A575:B575,D575:I575,L575)=0,"",IF(B575="","案件番号がありません",IF(ISNA(MATCH(B575,'案件'!$A$6:$A$105,0)),"案件シートに無い番号です",IF(NOT(OR(D575="材料費",D575="労務費",D575="外注費",D575="経費")),"費目を4つから選んでください",IF(K575="",IF(AND(ISNUMBER(F575),NOT(ISNUMBER(J575))),IF(D575="労務費","単価がありません（設定の作業者名と同じ書き方に）","単価がありません"),IF(AND(ISNUMBER(J575),NOT(ISNUMBER(F575))),"数量がありません","金額がありません")),IF(NOT(ISNUMBER(A575)),"日付がありません（月別集計に入りません）",IF(AND(ISNUMBER(F575),ISNUMBER(J575),ISNUMBER(I575)),"数量×単価を使いました（金額の欄は使っていません）","")))))))</f>
        <v/>
      </c>
      <c r="N575" s="91">
        <f>IF(AND(B575&lt;&gt;"",B575='案件カード'!$C$3),COUNTIF($B$5:B575,'案件カード'!$C$3),"")</f>
        <v/>
      </c>
      <c r="O575" s="91">
        <f>IF(ISNUMBER(K575),IF(B575="",K575,IF(AND(ISNUMBER(MATCH(B575,'案件'!$A$6:$A$105,0)),OR(D575="材料費",D575="労務費",D575="外注費",D575="経費")),0,K575)),0)</f>
        <v/>
      </c>
    </row>
    <row r="576" ht="16" customHeight="1">
      <c r="A576" s="35" t="n"/>
      <c r="B576" s="36" t="n"/>
      <c r="C576" s="37">
        <f>IF(B576="","",IFERROR(INDEX('案件'!$B$6:$B$105,MATCH(B576,'案件'!$A$6:$A$105,0))&amp;"","（案件シートに無い番号）"))</f>
        <v/>
      </c>
      <c r="D576" s="36" t="n"/>
      <c r="E576" s="38" t="n"/>
      <c r="F576" s="39" t="n"/>
      <c r="G576" s="36" t="n"/>
      <c r="H576" s="40" t="n"/>
      <c r="I576" s="40" t="n"/>
      <c r="J576" s="41">
        <f>IF(ISNUMBER(H576),H576,IF(AND(D576="労務費",TRIM(E576)&lt;&gt;""),IFERROR(INDEX('設定'!$G$12:$G$31,MATCH(TRIM(E576),'設定'!$J$12:$J$31,0)),""),""))</f>
        <v/>
      </c>
      <c r="K576" s="30">
        <f>IF(AND(ISNUMBER(F576),ISNUMBER(J576)),ROUND(F576*J576,0),IF(ISNUMBER(I576),I576,""))</f>
        <v/>
      </c>
      <c r="L576" s="33" t="n"/>
      <c r="M576" s="34">
        <f>IF(COUNTA(A576:B576,D576:I576,L576)=0,"",IF(B576="","案件番号がありません",IF(ISNA(MATCH(B576,'案件'!$A$6:$A$105,0)),"案件シートに無い番号です",IF(NOT(OR(D576="材料費",D576="労務費",D576="外注費",D576="経費")),"費目を4つから選んでください",IF(K576="",IF(AND(ISNUMBER(F576),NOT(ISNUMBER(J576))),IF(D576="労務費","単価がありません（設定の作業者名と同じ書き方に）","単価がありません"),IF(AND(ISNUMBER(J576),NOT(ISNUMBER(F576))),"数量がありません","金額がありません")),IF(NOT(ISNUMBER(A576)),"日付がありません（月別集計に入りません）",IF(AND(ISNUMBER(F576),ISNUMBER(J576),ISNUMBER(I576)),"数量×単価を使いました（金額の欄は使っていません）","")))))))</f>
        <v/>
      </c>
      <c r="N576" s="91">
        <f>IF(AND(B576&lt;&gt;"",B576='案件カード'!$C$3),COUNTIF($B$5:B576,'案件カード'!$C$3),"")</f>
        <v/>
      </c>
      <c r="O576" s="91">
        <f>IF(ISNUMBER(K576),IF(B576="",K576,IF(AND(ISNUMBER(MATCH(B576,'案件'!$A$6:$A$105,0)),OR(D576="材料費",D576="労務費",D576="外注費",D576="経費")),0,K576)),0)</f>
        <v/>
      </c>
    </row>
    <row r="577" ht="16" customHeight="1">
      <c r="A577" s="35" t="n"/>
      <c r="B577" s="36" t="n"/>
      <c r="C577" s="37">
        <f>IF(B577="","",IFERROR(INDEX('案件'!$B$6:$B$105,MATCH(B577,'案件'!$A$6:$A$105,0))&amp;"","（案件シートに無い番号）"))</f>
        <v/>
      </c>
      <c r="D577" s="36" t="n"/>
      <c r="E577" s="38" t="n"/>
      <c r="F577" s="39" t="n"/>
      <c r="G577" s="36" t="n"/>
      <c r="H577" s="40" t="n"/>
      <c r="I577" s="40" t="n"/>
      <c r="J577" s="41">
        <f>IF(ISNUMBER(H577),H577,IF(AND(D577="労務費",TRIM(E577)&lt;&gt;""),IFERROR(INDEX('設定'!$G$12:$G$31,MATCH(TRIM(E577),'設定'!$J$12:$J$31,0)),""),""))</f>
        <v/>
      </c>
      <c r="K577" s="30">
        <f>IF(AND(ISNUMBER(F577),ISNUMBER(J577)),ROUND(F577*J577,0),IF(ISNUMBER(I577),I577,""))</f>
        <v/>
      </c>
      <c r="L577" s="33" t="n"/>
      <c r="M577" s="34">
        <f>IF(COUNTA(A577:B577,D577:I577,L577)=0,"",IF(B577="","案件番号がありません",IF(ISNA(MATCH(B577,'案件'!$A$6:$A$105,0)),"案件シートに無い番号です",IF(NOT(OR(D577="材料費",D577="労務費",D577="外注費",D577="経費")),"費目を4つから選んでください",IF(K577="",IF(AND(ISNUMBER(F577),NOT(ISNUMBER(J577))),IF(D577="労務費","単価がありません（設定の作業者名と同じ書き方に）","単価がありません"),IF(AND(ISNUMBER(J577),NOT(ISNUMBER(F577))),"数量がありません","金額がありません")),IF(NOT(ISNUMBER(A577)),"日付がありません（月別集計に入りません）",IF(AND(ISNUMBER(F577),ISNUMBER(J577),ISNUMBER(I577)),"数量×単価を使いました（金額の欄は使っていません）","")))))))</f>
        <v/>
      </c>
      <c r="N577" s="91">
        <f>IF(AND(B577&lt;&gt;"",B577='案件カード'!$C$3),COUNTIF($B$5:B577,'案件カード'!$C$3),"")</f>
        <v/>
      </c>
      <c r="O577" s="91">
        <f>IF(ISNUMBER(K577),IF(B577="",K577,IF(AND(ISNUMBER(MATCH(B577,'案件'!$A$6:$A$105,0)),OR(D577="材料費",D577="労務費",D577="外注費",D577="経費")),0,K577)),0)</f>
        <v/>
      </c>
    </row>
    <row r="578" ht="16" customHeight="1">
      <c r="A578" s="35" t="n"/>
      <c r="B578" s="36" t="n"/>
      <c r="C578" s="37">
        <f>IF(B578="","",IFERROR(INDEX('案件'!$B$6:$B$105,MATCH(B578,'案件'!$A$6:$A$105,0))&amp;"","（案件シートに無い番号）"))</f>
        <v/>
      </c>
      <c r="D578" s="36" t="n"/>
      <c r="E578" s="38" t="n"/>
      <c r="F578" s="39" t="n"/>
      <c r="G578" s="36" t="n"/>
      <c r="H578" s="40" t="n"/>
      <c r="I578" s="40" t="n"/>
      <c r="J578" s="41">
        <f>IF(ISNUMBER(H578),H578,IF(AND(D578="労務費",TRIM(E578)&lt;&gt;""),IFERROR(INDEX('設定'!$G$12:$G$31,MATCH(TRIM(E578),'設定'!$J$12:$J$31,0)),""),""))</f>
        <v/>
      </c>
      <c r="K578" s="30">
        <f>IF(AND(ISNUMBER(F578),ISNUMBER(J578)),ROUND(F578*J578,0),IF(ISNUMBER(I578),I578,""))</f>
        <v/>
      </c>
      <c r="L578" s="33" t="n"/>
      <c r="M578" s="34">
        <f>IF(COUNTA(A578:B578,D578:I578,L578)=0,"",IF(B578="","案件番号がありません",IF(ISNA(MATCH(B578,'案件'!$A$6:$A$105,0)),"案件シートに無い番号です",IF(NOT(OR(D578="材料費",D578="労務費",D578="外注費",D578="経費")),"費目を4つから選んでください",IF(K578="",IF(AND(ISNUMBER(F578),NOT(ISNUMBER(J578))),IF(D578="労務費","単価がありません（設定の作業者名と同じ書き方に）","単価がありません"),IF(AND(ISNUMBER(J578),NOT(ISNUMBER(F578))),"数量がありません","金額がありません")),IF(NOT(ISNUMBER(A578)),"日付がありません（月別集計に入りません）",IF(AND(ISNUMBER(F578),ISNUMBER(J578),ISNUMBER(I578)),"数量×単価を使いました（金額の欄は使っていません）","")))))))</f>
        <v/>
      </c>
      <c r="N578" s="91">
        <f>IF(AND(B578&lt;&gt;"",B578='案件カード'!$C$3),COUNTIF($B$5:B578,'案件カード'!$C$3),"")</f>
        <v/>
      </c>
      <c r="O578" s="91">
        <f>IF(ISNUMBER(K578),IF(B578="",K578,IF(AND(ISNUMBER(MATCH(B578,'案件'!$A$6:$A$105,0)),OR(D578="材料費",D578="労務費",D578="外注費",D578="経費")),0,K578)),0)</f>
        <v/>
      </c>
    </row>
    <row r="579" ht="16" customHeight="1">
      <c r="A579" s="35" t="n"/>
      <c r="B579" s="36" t="n"/>
      <c r="C579" s="37">
        <f>IF(B579="","",IFERROR(INDEX('案件'!$B$6:$B$105,MATCH(B579,'案件'!$A$6:$A$105,0))&amp;"","（案件シートに無い番号）"))</f>
        <v/>
      </c>
      <c r="D579" s="36" t="n"/>
      <c r="E579" s="38" t="n"/>
      <c r="F579" s="39" t="n"/>
      <c r="G579" s="36" t="n"/>
      <c r="H579" s="40" t="n"/>
      <c r="I579" s="40" t="n"/>
      <c r="J579" s="41">
        <f>IF(ISNUMBER(H579),H579,IF(AND(D579="労務費",TRIM(E579)&lt;&gt;""),IFERROR(INDEX('設定'!$G$12:$G$31,MATCH(TRIM(E579),'設定'!$J$12:$J$31,0)),""),""))</f>
        <v/>
      </c>
      <c r="K579" s="30">
        <f>IF(AND(ISNUMBER(F579),ISNUMBER(J579)),ROUND(F579*J579,0),IF(ISNUMBER(I579),I579,""))</f>
        <v/>
      </c>
      <c r="L579" s="33" t="n"/>
      <c r="M579" s="34">
        <f>IF(COUNTA(A579:B579,D579:I579,L579)=0,"",IF(B579="","案件番号がありません",IF(ISNA(MATCH(B579,'案件'!$A$6:$A$105,0)),"案件シートに無い番号です",IF(NOT(OR(D579="材料費",D579="労務費",D579="外注費",D579="経費")),"費目を4つから選んでください",IF(K579="",IF(AND(ISNUMBER(F579),NOT(ISNUMBER(J579))),IF(D579="労務費","単価がありません（設定の作業者名と同じ書き方に）","単価がありません"),IF(AND(ISNUMBER(J579),NOT(ISNUMBER(F579))),"数量がありません","金額がありません")),IF(NOT(ISNUMBER(A579)),"日付がありません（月別集計に入りません）",IF(AND(ISNUMBER(F579),ISNUMBER(J579),ISNUMBER(I579)),"数量×単価を使いました（金額の欄は使っていません）","")))))))</f>
        <v/>
      </c>
      <c r="N579" s="91">
        <f>IF(AND(B579&lt;&gt;"",B579='案件カード'!$C$3),COUNTIF($B$5:B579,'案件カード'!$C$3),"")</f>
        <v/>
      </c>
      <c r="O579" s="91">
        <f>IF(ISNUMBER(K579),IF(B579="",K579,IF(AND(ISNUMBER(MATCH(B579,'案件'!$A$6:$A$105,0)),OR(D579="材料費",D579="労務費",D579="外注費",D579="経費")),0,K579)),0)</f>
        <v/>
      </c>
    </row>
    <row r="580" ht="16" customHeight="1">
      <c r="A580" s="35" t="n"/>
      <c r="B580" s="36" t="n"/>
      <c r="C580" s="37">
        <f>IF(B580="","",IFERROR(INDEX('案件'!$B$6:$B$105,MATCH(B580,'案件'!$A$6:$A$105,0))&amp;"","（案件シートに無い番号）"))</f>
        <v/>
      </c>
      <c r="D580" s="36" t="n"/>
      <c r="E580" s="38" t="n"/>
      <c r="F580" s="39" t="n"/>
      <c r="G580" s="36" t="n"/>
      <c r="H580" s="40" t="n"/>
      <c r="I580" s="40" t="n"/>
      <c r="J580" s="41">
        <f>IF(ISNUMBER(H580),H580,IF(AND(D580="労務費",TRIM(E580)&lt;&gt;""),IFERROR(INDEX('設定'!$G$12:$G$31,MATCH(TRIM(E580),'設定'!$J$12:$J$31,0)),""),""))</f>
        <v/>
      </c>
      <c r="K580" s="30">
        <f>IF(AND(ISNUMBER(F580),ISNUMBER(J580)),ROUND(F580*J580,0),IF(ISNUMBER(I580),I580,""))</f>
        <v/>
      </c>
      <c r="L580" s="33" t="n"/>
      <c r="M580" s="34">
        <f>IF(COUNTA(A580:B580,D580:I580,L580)=0,"",IF(B580="","案件番号がありません",IF(ISNA(MATCH(B580,'案件'!$A$6:$A$105,0)),"案件シートに無い番号です",IF(NOT(OR(D580="材料費",D580="労務費",D580="外注費",D580="経費")),"費目を4つから選んでください",IF(K580="",IF(AND(ISNUMBER(F580),NOT(ISNUMBER(J580))),IF(D580="労務費","単価がありません（設定の作業者名と同じ書き方に）","単価がありません"),IF(AND(ISNUMBER(J580),NOT(ISNUMBER(F580))),"数量がありません","金額がありません")),IF(NOT(ISNUMBER(A580)),"日付がありません（月別集計に入りません）",IF(AND(ISNUMBER(F580),ISNUMBER(J580),ISNUMBER(I580)),"数量×単価を使いました（金額の欄は使っていません）","")))))))</f>
        <v/>
      </c>
      <c r="N580" s="91">
        <f>IF(AND(B580&lt;&gt;"",B580='案件カード'!$C$3),COUNTIF($B$5:B580,'案件カード'!$C$3),"")</f>
        <v/>
      </c>
      <c r="O580" s="91">
        <f>IF(ISNUMBER(K580),IF(B580="",K580,IF(AND(ISNUMBER(MATCH(B580,'案件'!$A$6:$A$105,0)),OR(D580="材料費",D580="労務費",D580="外注費",D580="経費")),0,K580)),0)</f>
        <v/>
      </c>
    </row>
    <row r="581" ht="16" customHeight="1">
      <c r="A581" s="35" t="n"/>
      <c r="B581" s="36" t="n"/>
      <c r="C581" s="37">
        <f>IF(B581="","",IFERROR(INDEX('案件'!$B$6:$B$105,MATCH(B581,'案件'!$A$6:$A$105,0))&amp;"","（案件シートに無い番号）"))</f>
        <v/>
      </c>
      <c r="D581" s="36" t="n"/>
      <c r="E581" s="38" t="n"/>
      <c r="F581" s="39" t="n"/>
      <c r="G581" s="36" t="n"/>
      <c r="H581" s="40" t="n"/>
      <c r="I581" s="40" t="n"/>
      <c r="J581" s="41">
        <f>IF(ISNUMBER(H581),H581,IF(AND(D581="労務費",TRIM(E581)&lt;&gt;""),IFERROR(INDEX('設定'!$G$12:$G$31,MATCH(TRIM(E581),'設定'!$J$12:$J$31,0)),""),""))</f>
        <v/>
      </c>
      <c r="K581" s="30">
        <f>IF(AND(ISNUMBER(F581),ISNUMBER(J581)),ROUND(F581*J581,0),IF(ISNUMBER(I581),I581,""))</f>
        <v/>
      </c>
      <c r="L581" s="33" t="n"/>
      <c r="M581" s="34">
        <f>IF(COUNTA(A581:B581,D581:I581,L581)=0,"",IF(B581="","案件番号がありません",IF(ISNA(MATCH(B581,'案件'!$A$6:$A$105,0)),"案件シートに無い番号です",IF(NOT(OR(D581="材料費",D581="労務費",D581="外注費",D581="経費")),"費目を4つから選んでください",IF(K581="",IF(AND(ISNUMBER(F581),NOT(ISNUMBER(J581))),IF(D581="労務費","単価がありません（設定の作業者名と同じ書き方に）","単価がありません"),IF(AND(ISNUMBER(J581),NOT(ISNUMBER(F581))),"数量がありません","金額がありません")),IF(NOT(ISNUMBER(A581)),"日付がありません（月別集計に入りません）",IF(AND(ISNUMBER(F581),ISNUMBER(J581),ISNUMBER(I581)),"数量×単価を使いました（金額の欄は使っていません）","")))))))</f>
        <v/>
      </c>
      <c r="N581" s="91">
        <f>IF(AND(B581&lt;&gt;"",B581='案件カード'!$C$3),COUNTIF($B$5:B581,'案件カード'!$C$3),"")</f>
        <v/>
      </c>
      <c r="O581" s="91">
        <f>IF(ISNUMBER(K581),IF(B581="",K581,IF(AND(ISNUMBER(MATCH(B581,'案件'!$A$6:$A$105,0)),OR(D581="材料費",D581="労務費",D581="外注費",D581="経費")),0,K581)),0)</f>
        <v/>
      </c>
    </row>
    <row r="582" ht="16" customHeight="1">
      <c r="A582" s="35" t="n"/>
      <c r="B582" s="36" t="n"/>
      <c r="C582" s="37">
        <f>IF(B582="","",IFERROR(INDEX('案件'!$B$6:$B$105,MATCH(B582,'案件'!$A$6:$A$105,0))&amp;"","（案件シートに無い番号）"))</f>
        <v/>
      </c>
      <c r="D582" s="36" t="n"/>
      <c r="E582" s="38" t="n"/>
      <c r="F582" s="39" t="n"/>
      <c r="G582" s="36" t="n"/>
      <c r="H582" s="40" t="n"/>
      <c r="I582" s="40" t="n"/>
      <c r="J582" s="41">
        <f>IF(ISNUMBER(H582),H582,IF(AND(D582="労務費",TRIM(E582)&lt;&gt;""),IFERROR(INDEX('設定'!$G$12:$G$31,MATCH(TRIM(E582),'設定'!$J$12:$J$31,0)),""),""))</f>
        <v/>
      </c>
      <c r="K582" s="30">
        <f>IF(AND(ISNUMBER(F582),ISNUMBER(J582)),ROUND(F582*J582,0),IF(ISNUMBER(I582),I582,""))</f>
        <v/>
      </c>
      <c r="L582" s="33" t="n"/>
      <c r="M582" s="34">
        <f>IF(COUNTA(A582:B582,D582:I582,L582)=0,"",IF(B582="","案件番号がありません",IF(ISNA(MATCH(B582,'案件'!$A$6:$A$105,0)),"案件シートに無い番号です",IF(NOT(OR(D582="材料費",D582="労務費",D582="外注費",D582="経費")),"費目を4つから選んでください",IF(K582="",IF(AND(ISNUMBER(F582),NOT(ISNUMBER(J582))),IF(D582="労務費","単価がありません（設定の作業者名と同じ書き方に）","単価がありません"),IF(AND(ISNUMBER(J582),NOT(ISNUMBER(F582))),"数量がありません","金額がありません")),IF(NOT(ISNUMBER(A582)),"日付がありません（月別集計に入りません）",IF(AND(ISNUMBER(F582),ISNUMBER(J582),ISNUMBER(I582)),"数量×単価を使いました（金額の欄は使っていません）","")))))))</f>
        <v/>
      </c>
      <c r="N582" s="91">
        <f>IF(AND(B582&lt;&gt;"",B582='案件カード'!$C$3),COUNTIF($B$5:B582,'案件カード'!$C$3),"")</f>
        <v/>
      </c>
      <c r="O582" s="91">
        <f>IF(ISNUMBER(K582),IF(B582="",K582,IF(AND(ISNUMBER(MATCH(B582,'案件'!$A$6:$A$105,0)),OR(D582="材料費",D582="労務費",D582="外注費",D582="経費")),0,K582)),0)</f>
        <v/>
      </c>
    </row>
    <row r="583" ht="16" customHeight="1">
      <c r="A583" s="35" t="n"/>
      <c r="B583" s="36" t="n"/>
      <c r="C583" s="37">
        <f>IF(B583="","",IFERROR(INDEX('案件'!$B$6:$B$105,MATCH(B583,'案件'!$A$6:$A$105,0))&amp;"","（案件シートに無い番号）"))</f>
        <v/>
      </c>
      <c r="D583" s="36" t="n"/>
      <c r="E583" s="38" t="n"/>
      <c r="F583" s="39" t="n"/>
      <c r="G583" s="36" t="n"/>
      <c r="H583" s="40" t="n"/>
      <c r="I583" s="40" t="n"/>
      <c r="J583" s="41">
        <f>IF(ISNUMBER(H583),H583,IF(AND(D583="労務費",TRIM(E583)&lt;&gt;""),IFERROR(INDEX('設定'!$G$12:$G$31,MATCH(TRIM(E583),'設定'!$J$12:$J$31,0)),""),""))</f>
        <v/>
      </c>
      <c r="K583" s="30">
        <f>IF(AND(ISNUMBER(F583),ISNUMBER(J583)),ROUND(F583*J583,0),IF(ISNUMBER(I583),I583,""))</f>
        <v/>
      </c>
      <c r="L583" s="33" t="n"/>
      <c r="M583" s="34">
        <f>IF(COUNTA(A583:B583,D583:I583,L583)=0,"",IF(B583="","案件番号がありません",IF(ISNA(MATCH(B583,'案件'!$A$6:$A$105,0)),"案件シートに無い番号です",IF(NOT(OR(D583="材料費",D583="労務費",D583="外注費",D583="経費")),"費目を4つから選んでください",IF(K583="",IF(AND(ISNUMBER(F583),NOT(ISNUMBER(J583))),IF(D583="労務費","単価がありません（設定の作業者名と同じ書き方に）","単価がありません"),IF(AND(ISNUMBER(J583),NOT(ISNUMBER(F583))),"数量がありません","金額がありません")),IF(NOT(ISNUMBER(A583)),"日付がありません（月別集計に入りません）",IF(AND(ISNUMBER(F583),ISNUMBER(J583),ISNUMBER(I583)),"数量×単価を使いました（金額の欄は使っていません）","")))))))</f>
        <v/>
      </c>
      <c r="N583" s="91">
        <f>IF(AND(B583&lt;&gt;"",B583='案件カード'!$C$3),COUNTIF($B$5:B583,'案件カード'!$C$3),"")</f>
        <v/>
      </c>
      <c r="O583" s="91">
        <f>IF(ISNUMBER(K583),IF(B583="",K583,IF(AND(ISNUMBER(MATCH(B583,'案件'!$A$6:$A$105,0)),OR(D583="材料費",D583="労務費",D583="外注費",D583="経費")),0,K583)),0)</f>
        <v/>
      </c>
    </row>
    <row r="584" ht="16" customHeight="1">
      <c r="A584" s="35" t="n"/>
      <c r="B584" s="36" t="n"/>
      <c r="C584" s="37">
        <f>IF(B584="","",IFERROR(INDEX('案件'!$B$6:$B$105,MATCH(B584,'案件'!$A$6:$A$105,0))&amp;"","（案件シートに無い番号）"))</f>
        <v/>
      </c>
      <c r="D584" s="36" t="n"/>
      <c r="E584" s="38" t="n"/>
      <c r="F584" s="39" t="n"/>
      <c r="G584" s="36" t="n"/>
      <c r="H584" s="40" t="n"/>
      <c r="I584" s="40" t="n"/>
      <c r="J584" s="41">
        <f>IF(ISNUMBER(H584),H584,IF(AND(D584="労務費",TRIM(E584)&lt;&gt;""),IFERROR(INDEX('設定'!$G$12:$G$31,MATCH(TRIM(E584),'設定'!$J$12:$J$31,0)),""),""))</f>
        <v/>
      </c>
      <c r="K584" s="30">
        <f>IF(AND(ISNUMBER(F584),ISNUMBER(J584)),ROUND(F584*J584,0),IF(ISNUMBER(I584),I584,""))</f>
        <v/>
      </c>
      <c r="L584" s="33" t="n"/>
      <c r="M584" s="34">
        <f>IF(COUNTA(A584:B584,D584:I584,L584)=0,"",IF(B584="","案件番号がありません",IF(ISNA(MATCH(B584,'案件'!$A$6:$A$105,0)),"案件シートに無い番号です",IF(NOT(OR(D584="材料費",D584="労務費",D584="外注費",D584="経費")),"費目を4つから選んでください",IF(K584="",IF(AND(ISNUMBER(F584),NOT(ISNUMBER(J584))),IF(D584="労務費","単価がありません（設定の作業者名と同じ書き方に）","単価がありません"),IF(AND(ISNUMBER(J584),NOT(ISNUMBER(F584))),"数量がありません","金額がありません")),IF(NOT(ISNUMBER(A584)),"日付がありません（月別集計に入りません）",IF(AND(ISNUMBER(F584),ISNUMBER(J584),ISNUMBER(I584)),"数量×単価を使いました（金額の欄は使っていません）","")))))))</f>
        <v/>
      </c>
      <c r="N584" s="91">
        <f>IF(AND(B584&lt;&gt;"",B584='案件カード'!$C$3),COUNTIF($B$5:B584,'案件カード'!$C$3),"")</f>
        <v/>
      </c>
      <c r="O584" s="91">
        <f>IF(ISNUMBER(K584),IF(B584="",K584,IF(AND(ISNUMBER(MATCH(B584,'案件'!$A$6:$A$105,0)),OR(D584="材料費",D584="労務費",D584="外注費",D584="経費")),0,K584)),0)</f>
        <v/>
      </c>
    </row>
    <row r="585" ht="16" customHeight="1">
      <c r="A585" s="35" t="n"/>
      <c r="B585" s="36" t="n"/>
      <c r="C585" s="37">
        <f>IF(B585="","",IFERROR(INDEX('案件'!$B$6:$B$105,MATCH(B585,'案件'!$A$6:$A$105,0))&amp;"","（案件シートに無い番号）"))</f>
        <v/>
      </c>
      <c r="D585" s="36" t="n"/>
      <c r="E585" s="38" t="n"/>
      <c r="F585" s="39" t="n"/>
      <c r="G585" s="36" t="n"/>
      <c r="H585" s="40" t="n"/>
      <c r="I585" s="40" t="n"/>
      <c r="J585" s="41">
        <f>IF(ISNUMBER(H585),H585,IF(AND(D585="労務費",TRIM(E585)&lt;&gt;""),IFERROR(INDEX('設定'!$G$12:$G$31,MATCH(TRIM(E585),'設定'!$J$12:$J$31,0)),""),""))</f>
        <v/>
      </c>
      <c r="K585" s="30">
        <f>IF(AND(ISNUMBER(F585),ISNUMBER(J585)),ROUND(F585*J585,0),IF(ISNUMBER(I585),I585,""))</f>
        <v/>
      </c>
      <c r="L585" s="33" t="n"/>
      <c r="M585" s="34">
        <f>IF(COUNTA(A585:B585,D585:I585,L585)=0,"",IF(B585="","案件番号がありません",IF(ISNA(MATCH(B585,'案件'!$A$6:$A$105,0)),"案件シートに無い番号です",IF(NOT(OR(D585="材料費",D585="労務費",D585="外注費",D585="経費")),"費目を4つから選んでください",IF(K585="",IF(AND(ISNUMBER(F585),NOT(ISNUMBER(J585))),IF(D585="労務費","単価がありません（設定の作業者名と同じ書き方に）","単価がありません"),IF(AND(ISNUMBER(J585),NOT(ISNUMBER(F585))),"数量がありません","金額がありません")),IF(NOT(ISNUMBER(A585)),"日付がありません（月別集計に入りません）",IF(AND(ISNUMBER(F585),ISNUMBER(J585),ISNUMBER(I585)),"数量×単価を使いました（金額の欄は使っていません）","")))))))</f>
        <v/>
      </c>
      <c r="N585" s="91">
        <f>IF(AND(B585&lt;&gt;"",B585='案件カード'!$C$3),COUNTIF($B$5:B585,'案件カード'!$C$3),"")</f>
        <v/>
      </c>
      <c r="O585" s="91">
        <f>IF(ISNUMBER(K585),IF(B585="",K585,IF(AND(ISNUMBER(MATCH(B585,'案件'!$A$6:$A$105,0)),OR(D585="材料費",D585="労務費",D585="外注費",D585="経費")),0,K585)),0)</f>
        <v/>
      </c>
    </row>
    <row r="586" ht="16" customHeight="1">
      <c r="A586" s="35" t="n"/>
      <c r="B586" s="36" t="n"/>
      <c r="C586" s="37">
        <f>IF(B586="","",IFERROR(INDEX('案件'!$B$6:$B$105,MATCH(B586,'案件'!$A$6:$A$105,0))&amp;"","（案件シートに無い番号）"))</f>
        <v/>
      </c>
      <c r="D586" s="36" t="n"/>
      <c r="E586" s="38" t="n"/>
      <c r="F586" s="39" t="n"/>
      <c r="G586" s="36" t="n"/>
      <c r="H586" s="40" t="n"/>
      <c r="I586" s="40" t="n"/>
      <c r="J586" s="41">
        <f>IF(ISNUMBER(H586),H586,IF(AND(D586="労務費",TRIM(E586)&lt;&gt;""),IFERROR(INDEX('設定'!$G$12:$G$31,MATCH(TRIM(E586),'設定'!$J$12:$J$31,0)),""),""))</f>
        <v/>
      </c>
      <c r="K586" s="30">
        <f>IF(AND(ISNUMBER(F586),ISNUMBER(J586)),ROUND(F586*J586,0),IF(ISNUMBER(I586),I586,""))</f>
        <v/>
      </c>
      <c r="L586" s="33" t="n"/>
      <c r="M586" s="34">
        <f>IF(COUNTA(A586:B586,D586:I586,L586)=0,"",IF(B586="","案件番号がありません",IF(ISNA(MATCH(B586,'案件'!$A$6:$A$105,0)),"案件シートに無い番号です",IF(NOT(OR(D586="材料費",D586="労務費",D586="外注費",D586="経費")),"費目を4つから選んでください",IF(K586="",IF(AND(ISNUMBER(F586),NOT(ISNUMBER(J586))),IF(D586="労務費","単価がありません（設定の作業者名と同じ書き方に）","単価がありません"),IF(AND(ISNUMBER(J586),NOT(ISNUMBER(F586))),"数量がありません","金額がありません")),IF(NOT(ISNUMBER(A586)),"日付がありません（月別集計に入りません）",IF(AND(ISNUMBER(F586),ISNUMBER(J586),ISNUMBER(I586)),"数量×単価を使いました（金額の欄は使っていません）","")))))))</f>
        <v/>
      </c>
      <c r="N586" s="91">
        <f>IF(AND(B586&lt;&gt;"",B586='案件カード'!$C$3),COUNTIF($B$5:B586,'案件カード'!$C$3),"")</f>
        <v/>
      </c>
      <c r="O586" s="91">
        <f>IF(ISNUMBER(K586),IF(B586="",K586,IF(AND(ISNUMBER(MATCH(B586,'案件'!$A$6:$A$105,0)),OR(D586="材料費",D586="労務費",D586="外注費",D586="経費")),0,K586)),0)</f>
        <v/>
      </c>
    </row>
    <row r="587" ht="16" customHeight="1">
      <c r="A587" s="35" t="n"/>
      <c r="B587" s="36" t="n"/>
      <c r="C587" s="37">
        <f>IF(B587="","",IFERROR(INDEX('案件'!$B$6:$B$105,MATCH(B587,'案件'!$A$6:$A$105,0))&amp;"","（案件シートに無い番号）"))</f>
        <v/>
      </c>
      <c r="D587" s="36" t="n"/>
      <c r="E587" s="38" t="n"/>
      <c r="F587" s="39" t="n"/>
      <c r="G587" s="36" t="n"/>
      <c r="H587" s="40" t="n"/>
      <c r="I587" s="40" t="n"/>
      <c r="J587" s="41">
        <f>IF(ISNUMBER(H587),H587,IF(AND(D587="労務費",TRIM(E587)&lt;&gt;""),IFERROR(INDEX('設定'!$G$12:$G$31,MATCH(TRIM(E587),'設定'!$J$12:$J$31,0)),""),""))</f>
        <v/>
      </c>
      <c r="K587" s="30">
        <f>IF(AND(ISNUMBER(F587),ISNUMBER(J587)),ROUND(F587*J587,0),IF(ISNUMBER(I587),I587,""))</f>
        <v/>
      </c>
      <c r="L587" s="33" t="n"/>
      <c r="M587" s="34">
        <f>IF(COUNTA(A587:B587,D587:I587,L587)=0,"",IF(B587="","案件番号がありません",IF(ISNA(MATCH(B587,'案件'!$A$6:$A$105,0)),"案件シートに無い番号です",IF(NOT(OR(D587="材料費",D587="労務費",D587="外注費",D587="経費")),"費目を4つから選んでください",IF(K587="",IF(AND(ISNUMBER(F587),NOT(ISNUMBER(J587))),IF(D587="労務費","単価がありません（設定の作業者名と同じ書き方に）","単価がありません"),IF(AND(ISNUMBER(J587),NOT(ISNUMBER(F587))),"数量がありません","金額がありません")),IF(NOT(ISNUMBER(A587)),"日付がありません（月別集計に入りません）",IF(AND(ISNUMBER(F587),ISNUMBER(J587),ISNUMBER(I587)),"数量×単価を使いました（金額の欄は使っていません）","")))))))</f>
        <v/>
      </c>
      <c r="N587" s="91">
        <f>IF(AND(B587&lt;&gt;"",B587='案件カード'!$C$3),COUNTIF($B$5:B587,'案件カード'!$C$3),"")</f>
        <v/>
      </c>
      <c r="O587" s="91">
        <f>IF(ISNUMBER(K587),IF(B587="",K587,IF(AND(ISNUMBER(MATCH(B587,'案件'!$A$6:$A$105,0)),OR(D587="材料費",D587="労務費",D587="外注費",D587="経費")),0,K587)),0)</f>
        <v/>
      </c>
    </row>
    <row r="588" ht="16" customHeight="1">
      <c r="A588" s="35" t="n"/>
      <c r="B588" s="36" t="n"/>
      <c r="C588" s="37">
        <f>IF(B588="","",IFERROR(INDEX('案件'!$B$6:$B$105,MATCH(B588,'案件'!$A$6:$A$105,0))&amp;"","（案件シートに無い番号）"))</f>
        <v/>
      </c>
      <c r="D588" s="36" t="n"/>
      <c r="E588" s="38" t="n"/>
      <c r="F588" s="39" t="n"/>
      <c r="G588" s="36" t="n"/>
      <c r="H588" s="40" t="n"/>
      <c r="I588" s="40" t="n"/>
      <c r="J588" s="41">
        <f>IF(ISNUMBER(H588),H588,IF(AND(D588="労務費",TRIM(E588)&lt;&gt;""),IFERROR(INDEX('設定'!$G$12:$G$31,MATCH(TRIM(E588),'設定'!$J$12:$J$31,0)),""),""))</f>
        <v/>
      </c>
      <c r="K588" s="30">
        <f>IF(AND(ISNUMBER(F588),ISNUMBER(J588)),ROUND(F588*J588,0),IF(ISNUMBER(I588),I588,""))</f>
        <v/>
      </c>
      <c r="L588" s="33" t="n"/>
      <c r="M588" s="34">
        <f>IF(COUNTA(A588:B588,D588:I588,L588)=0,"",IF(B588="","案件番号がありません",IF(ISNA(MATCH(B588,'案件'!$A$6:$A$105,0)),"案件シートに無い番号です",IF(NOT(OR(D588="材料費",D588="労務費",D588="外注費",D588="経費")),"費目を4つから選んでください",IF(K588="",IF(AND(ISNUMBER(F588),NOT(ISNUMBER(J588))),IF(D588="労務費","単価がありません（設定の作業者名と同じ書き方に）","単価がありません"),IF(AND(ISNUMBER(J588),NOT(ISNUMBER(F588))),"数量がありません","金額がありません")),IF(NOT(ISNUMBER(A588)),"日付がありません（月別集計に入りません）",IF(AND(ISNUMBER(F588),ISNUMBER(J588),ISNUMBER(I588)),"数量×単価を使いました（金額の欄は使っていません）","")))))))</f>
        <v/>
      </c>
      <c r="N588" s="91">
        <f>IF(AND(B588&lt;&gt;"",B588='案件カード'!$C$3),COUNTIF($B$5:B588,'案件カード'!$C$3),"")</f>
        <v/>
      </c>
      <c r="O588" s="91">
        <f>IF(ISNUMBER(K588),IF(B588="",K588,IF(AND(ISNUMBER(MATCH(B588,'案件'!$A$6:$A$105,0)),OR(D588="材料費",D588="労務費",D588="外注費",D588="経費")),0,K588)),0)</f>
        <v/>
      </c>
    </row>
    <row r="589" ht="16" customHeight="1">
      <c r="A589" s="35" t="n"/>
      <c r="B589" s="36" t="n"/>
      <c r="C589" s="37">
        <f>IF(B589="","",IFERROR(INDEX('案件'!$B$6:$B$105,MATCH(B589,'案件'!$A$6:$A$105,0))&amp;"","（案件シートに無い番号）"))</f>
        <v/>
      </c>
      <c r="D589" s="36" t="n"/>
      <c r="E589" s="38" t="n"/>
      <c r="F589" s="39" t="n"/>
      <c r="G589" s="36" t="n"/>
      <c r="H589" s="40" t="n"/>
      <c r="I589" s="40" t="n"/>
      <c r="J589" s="41">
        <f>IF(ISNUMBER(H589),H589,IF(AND(D589="労務費",TRIM(E589)&lt;&gt;""),IFERROR(INDEX('設定'!$G$12:$G$31,MATCH(TRIM(E589),'設定'!$J$12:$J$31,0)),""),""))</f>
        <v/>
      </c>
      <c r="K589" s="30">
        <f>IF(AND(ISNUMBER(F589),ISNUMBER(J589)),ROUND(F589*J589,0),IF(ISNUMBER(I589),I589,""))</f>
        <v/>
      </c>
      <c r="L589" s="33" t="n"/>
      <c r="M589" s="34">
        <f>IF(COUNTA(A589:B589,D589:I589,L589)=0,"",IF(B589="","案件番号がありません",IF(ISNA(MATCH(B589,'案件'!$A$6:$A$105,0)),"案件シートに無い番号です",IF(NOT(OR(D589="材料費",D589="労務費",D589="外注費",D589="経費")),"費目を4つから選んでください",IF(K589="",IF(AND(ISNUMBER(F589),NOT(ISNUMBER(J589))),IF(D589="労務費","単価がありません（設定の作業者名と同じ書き方に）","単価がありません"),IF(AND(ISNUMBER(J589),NOT(ISNUMBER(F589))),"数量がありません","金額がありません")),IF(NOT(ISNUMBER(A589)),"日付がありません（月別集計に入りません）",IF(AND(ISNUMBER(F589),ISNUMBER(J589),ISNUMBER(I589)),"数量×単価を使いました（金額の欄は使っていません）","")))))))</f>
        <v/>
      </c>
      <c r="N589" s="91">
        <f>IF(AND(B589&lt;&gt;"",B589='案件カード'!$C$3),COUNTIF($B$5:B589,'案件カード'!$C$3),"")</f>
        <v/>
      </c>
      <c r="O589" s="91">
        <f>IF(ISNUMBER(K589),IF(B589="",K589,IF(AND(ISNUMBER(MATCH(B589,'案件'!$A$6:$A$105,0)),OR(D589="材料費",D589="労務費",D589="外注費",D589="経費")),0,K589)),0)</f>
        <v/>
      </c>
    </row>
    <row r="590" ht="16" customHeight="1">
      <c r="A590" s="35" t="n"/>
      <c r="B590" s="36" t="n"/>
      <c r="C590" s="37">
        <f>IF(B590="","",IFERROR(INDEX('案件'!$B$6:$B$105,MATCH(B590,'案件'!$A$6:$A$105,0))&amp;"","（案件シートに無い番号）"))</f>
        <v/>
      </c>
      <c r="D590" s="36" t="n"/>
      <c r="E590" s="38" t="n"/>
      <c r="F590" s="39" t="n"/>
      <c r="G590" s="36" t="n"/>
      <c r="H590" s="40" t="n"/>
      <c r="I590" s="40" t="n"/>
      <c r="J590" s="41">
        <f>IF(ISNUMBER(H590),H590,IF(AND(D590="労務費",TRIM(E590)&lt;&gt;""),IFERROR(INDEX('設定'!$G$12:$G$31,MATCH(TRIM(E590),'設定'!$J$12:$J$31,0)),""),""))</f>
        <v/>
      </c>
      <c r="K590" s="30">
        <f>IF(AND(ISNUMBER(F590),ISNUMBER(J590)),ROUND(F590*J590,0),IF(ISNUMBER(I590),I590,""))</f>
        <v/>
      </c>
      <c r="L590" s="33" t="n"/>
      <c r="M590" s="34">
        <f>IF(COUNTA(A590:B590,D590:I590,L590)=0,"",IF(B590="","案件番号がありません",IF(ISNA(MATCH(B590,'案件'!$A$6:$A$105,0)),"案件シートに無い番号です",IF(NOT(OR(D590="材料費",D590="労務費",D590="外注費",D590="経費")),"費目を4つから選んでください",IF(K590="",IF(AND(ISNUMBER(F590),NOT(ISNUMBER(J590))),IF(D590="労務費","単価がありません（設定の作業者名と同じ書き方に）","単価がありません"),IF(AND(ISNUMBER(J590),NOT(ISNUMBER(F590))),"数量がありません","金額がありません")),IF(NOT(ISNUMBER(A590)),"日付がありません（月別集計に入りません）",IF(AND(ISNUMBER(F590),ISNUMBER(J590),ISNUMBER(I590)),"数量×単価を使いました（金額の欄は使っていません）","")))))))</f>
        <v/>
      </c>
      <c r="N590" s="91">
        <f>IF(AND(B590&lt;&gt;"",B590='案件カード'!$C$3),COUNTIF($B$5:B590,'案件カード'!$C$3),"")</f>
        <v/>
      </c>
      <c r="O590" s="91">
        <f>IF(ISNUMBER(K590),IF(B590="",K590,IF(AND(ISNUMBER(MATCH(B590,'案件'!$A$6:$A$105,0)),OR(D590="材料費",D590="労務費",D590="外注費",D590="経費")),0,K590)),0)</f>
        <v/>
      </c>
    </row>
    <row r="591" ht="16" customHeight="1">
      <c r="A591" s="35" t="n"/>
      <c r="B591" s="36" t="n"/>
      <c r="C591" s="37">
        <f>IF(B591="","",IFERROR(INDEX('案件'!$B$6:$B$105,MATCH(B591,'案件'!$A$6:$A$105,0))&amp;"","（案件シートに無い番号）"))</f>
        <v/>
      </c>
      <c r="D591" s="36" t="n"/>
      <c r="E591" s="38" t="n"/>
      <c r="F591" s="39" t="n"/>
      <c r="G591" s="36" t="n"/>
      <c r="H591" s="40" t="n"/>
      <c r="I591" s="40" t="n"/>
      <c r="J591" s="41">
        <f>IF(ISNUMBER(H591),H591,IF(AND(D591="労務費",TRIM(E591)&lt;&gt;""),IFERROR(INDEX('設定'!$G$12:$G$31,MATCH(TRIM(E591),'設定'!$J$12:$J$31,0)),""),""))</f>
        <v/>
      </c>
      <c r="K591" s="30">
        <f>IF(AND(ISNUMBER(F591),ISNUMBER(J591)),ROUND(F591*J591,0),IF(ISNUMBER(I591),I591,""))</f>
        <v/>
      </c>
      <c r="L591" s="33" t="n"/>
      <c r="M591" s="34">
        <f>IF(COUNTA(A591:B591,D591:I591,L591)=0,"",IF(B591="","案件番号がありません",IF(ISNA(MATCH(B591,'案件'!$A$6:$A$105,0)),"案件シートに無い番号です",IF(NOT(OR(D591="材料費",D591="労務費",D591="外注費",D591="経費")),"費目を4つから選んでください",IF(K591="",IF(AND(ISNUMBER(F591),NOT(ISNUMBER(J591))),IF(D591="労務費","単価がありません（設定の作業者名と同じ書き方に）","単価がありません"),IF(AND(ISNUMBER(J591),NOT(ISNUMBER(F591))),"数量がありません","金額がありません")),IF(NOT(ISNUMBER(A591)),"日付がありません（月別集計に入りません）",IF(AND(ISNUMBER(F591),ISNUMBER(J591),ISNUMBER(I591)),"数量×単価を使いました（金額の欄は使っていません）","")))))))</f>
        <v/>
      </c>
      <c r="N591" s="91">
        <f>IF(AND(B591&lt;&gt;"",B591='案件カード'!$C$3),COUNTIF($B$5:B591,'案件カード'!$C$3),"")</f>
        <v/>
      </c>
      <c r="O591" s="91">
        <f>IF(ISNUMBER(K591),IF(B591="",K591,IF(AND(ISNUMBER(MATCH(B591,'案件'!$A$6:$A$105,0)),OR(D591="材料費",D591="労務費",D591="外注費",D591="経費")),0,K591)),0)</f>
        <v/>
      </c>
    </row>
    <row r="592" ht="16" customHeight="1">
      <c r="A592" s="35" t="n"/>
      <c r="B592" s="36" t="n"/>
      <c r="C592" s="37">
        <f>IF(B592="","",IFERROR(INDEX('案件'!$B$6:$B$105,MATCH(B592,'案件'!$A$6:$A$105,0))&amp;"","（案件シートに無い番号）"))</f>
        <v/>
      </c>
      <c r="D592" s="36" t="n"/>
      <c r="E592" s="38" t="n"/>
      <c r="F592" s="39" t="n"/>
      <c r="G592" s="36" t="n"/>
      <c r="H592" s="40" t="n"/>
      <c r="I592" s="40" t="n"/>
      <c r="J592" s="41">
        <f>IF(ISNUMBER(H592),H592,IF(AND(D592="労務費",TRIM(E592)&lt;&gt;""),IFERROR(INDEX('設定'!$G$12:$G$31,MATCH(TRIM(E592),'設定'!$J$12:$J$31,0)),""),""))</f>
        <v/>
      </c>
      <c r="K592" s="30">
        <f>IF(AND(ISNUMBER(F592),ISNUMBER(J592)),ROUND(F592*J592,0),IF(ISNUMBER(I592),I592,""))</f>
        <v/>
      </c>
      <c r="L592" s="33" t="n"/>
      <c r="M592" s="34">
        <f>IF(COUNTA(A592:B592,D592:I592,L592)=0,"",IF(B592="","案件番号がありません",IF(ISNA(MATCH(B592,'案件'!$A$6:$A$105,0)),"案件シートに無い番号です",IF(NOT(OR(D592="材料費",D592="労務費",D592="外注費",D592="経費")),"費目を4つから選んでください",IF(K592="",IF(AND(ISNUMBER(F592),NOT(ISNUMBER(J592))),IF(D592="労務費","単価がありません（設定の作業者名と同じ書き方に）","単価がありません"),IF(AND(ISNUMBER(J592),NOT(ISNUMBER(F592))),"数量がありません","金額がありません")),IF(NOT(ISNUMBER(A592)),"日付がありません（月別集計に入りません）",IF(AND(ISNUMBER(F592),ISNUMBER(J592),ISNUMBER(I592)),"数量×単価を使いました（金額の欄は使っていません）","")))))))</f>
        <v/>
      </c>
      <c r="N592" s="91">
        <f>IF(AND(B592&lt;&gt;"",B592='案件カード'!$C$3),COUNTIF($B$5:B592,'案件カード'!$C$3),"")</f>
        <v/>
      </c>
      <c r="O592" s="91">
        <f>IF(ISNUMBER(K592),IF(B592="",K592,IF(AND(ISNUMBER(MATCH(B592,'案件'!$A$6:$A$105,0)),OR(D592="材料費",D592="労務費",D592="外注費",D592="経費")),0,K592)),0)</f>
        <v/>
      </c>
    </row>
    <row r="593" ht="16" customHeight="1">
      <c r="A593" s="35" t="n"/>
      <c r="B593" s="36" t="n"/>
      <c r="C593" s="37">
        <f>IF(B593="","",IFERROR(INDEX('案件'!$B$6:$B$105,MATCH(B593,'案件'!$A$6:$A$105,0))&amp;"","（案件シートに無い番号）"))</f>
        <v/>
      </c>
      <c r="D593" s="36" t="n"/>
      <c r="E593" s="38" t="n"/>
      <c r="F593" s="39" t="n"/>
      <c r="G593" s="36" t="n"/>
      <c r="H593" s="40" t="n"/>
      <c r="I593" s="40" t="n"/>
      <c r="J593" s="41">
        <f>IF(ISNUMBER(H593),H593,IF(AND(D593="労務費",TRIM(E593)&lt;&gt;""),IFERROR(INDEX('設定'!$G$12:$G$31,MATCH(TRIM(E593),'設定'!$J$12:$J$31,0)),""),""))</f>
        <v/>
      </c>
      <c r="K593" s="30">
        <f>IF(AND(ISNUMBER(F593),ISNUMBER(J593)),ROUND(F593*J593,0),IF(ISNUMBER(I593),I593,""))</f>
        <v/>
      </c>
      <c r="L593" s="33" t="n"/>
      <c r="M593" s="34">
        <f>IF(COUNTA(A593:B593,D593:I593,L593)=0,"",IF(B593="","案件番号がありません",IF(ISNA(MATCH(B593,'案件'!$A$6:$A$105,0)),"案件シートに無い番号です",IF(NOT(OR(D593="材料費",D593="労務費",D593="外注費",D593="経費")),"費目を4つから選んでください",IF(K593="",IF(AND(ISNUMBER(F593),NOT(ISNUMBER(J593))),IF(D593="労務費","単価がありません（設定の作業者名と同じ書き方に）","単価がありません"),IF(AND(ISNUMBER(J593),NOT(ISNUMBER(F593))),"数量がありません","金額がありません")),IF(NOT(ISNUMBER(A593)),"日付がありません（月別集計に入りません）",IF(AND(ISNUMBER(F593),ISNUMBER(J593),ISNUMBER(I593)),"数量×単価を使いました（金額の欄は使っていません）","")))))))</f>
        <v/>
      </c>
      <c r="N593" s="91">
        <f>IF(AND(B593&lt;&gt;"",B593='案件カード'!$C$3),COUNTIF($B$5:B593,'案件カード'!$C$3),"")</f>
        <v/>
      </c>
      <c r="O593" s="91">
        <f>IF(ISNUMBER(K593),IF(B593="",K593,IF(AND(ISNUMBER(MATCH(B593,'案件'!$A$6:$A$105,0)),OR(D593="材料費",D593="労務費",D593="外注費",D593="経費")),0,K593)),0)</f>
        <v/>
      </c>
    </row>
    <row r="594" ht="16" customHeight="1">
      <c r="A594" s="35" t="n"/>
      <c r="B594" s="36" t="n"/>
      <c r="C594" s="37">
        <f>IF(B594="","",IFERROR(INDEX('案件'!$B$6:$B$105,MATCH(B594,'案件'!$A$6:$A$105,0))&amp;"","（案件シートに無い番号）"))</f>
        <v/>
      </c>
      <c r="D594" s="36" t="n"/>
      <c r="E594" s="38" t="n"/>
      <c r="F594" s="39" t="n"/>
      <c r="G594" s="36" t="n"/>
      <c r="H594" s="40" t="n"/>
      <c r="I594" s="40" t="n"/>
      <c r="J594" s="41">
        <f>IF(ISNUMBER(H594),H594,IF(AND(D594="労務費",TRIM(E594)&lt;&gt;""),IFERROR(INDEX('設定'!$G$12:$G$31,MATCH(TRIM(E594),'設定'!$J$12:$J$31,0)),""),""))</f>
        <v/>
      </c>
      <c r="K594" s="30">
        <f>IF(AND(ISNUMBER(F594),ISNUMBER(J594)),ROUND(F594*J594,0),IF(ISNUMBER(I594),I594,""))</f>
        <v/>
      </c>
      <c r="L594" s="33" t="n"/>
      <c r="M594" s="34">
        <f>IF(COUNTA(A594:B594,D594:I594,L594)=0,"",IF(B594="","案件番号がありません",IF(ISNA(MATCH(B594,'案件'!$A$6:$A$105,0)),"案件シートに無い番号です",IF(NOT(OR(D594="材料費",D594="労務費",D594="外注費",D594="経費")),"費目を4つから選んでください",IF(K594="",IF(AND(ISNUMBER(F594),NOT(ISNUMBER(J594))),IF(D594="労務費","単価がありません（設定の作業者名と同じ書き方に）","単価がありません"),IF(AND(ISNUMBER(J594),NOT(ISNUMBER(F594))),"数量がありません","金額がありません")),IF(NOT(ISNUMBER(A594)),"日付がありません（月別集計に入りません）",IF(AND(ISNUMBER(F594),ISNUMBER(J594),ISNUMBER(I594)),"数量×単価を使いました（金額の欄は使っていません）","")))))))</f>
        <v/>
      </c>
      <c r="N594" s="91">
        <f>IF(AND(B594&lt;&gt;"",B594='案件カード'!$C$3),COUNTIF($B$5:B594,'案件カード'!$C$3),"")</f>
        <v/>
      </c>
      <c r="O594" s="91">
        <f>IF(ISNUMBER(K594),IF(B594="",K594,IF(AND(ISNUMBER(MATCH(B594,'案件'!$A$6:$A$105,0)),OR(D594="材料費",D594="労務費",D594="外注費",D594="経費")),0,K594)),0)</f>
        <v/>
      </c>
    </row>
    <row r="595" ht="16" customHeight="1">
      <c r="A595" s="35" t="n"/>
      <c r="B595" s="36" t="n"/>
      <c r="C595" s="37">
        <f>IF(B595="","",IFERROR(INDEX('案件'!$B$6:$B$105,MATCH(B595,'案件'!$A$6:$A$105,0))&amp;"","（案件シートに無い番号）"))</f>
        <v/>
      </c>
      <c r="D595" s="36" t="n"/>
      <c r="E595" s="38" t="n"/>
      <c r="F595" s="39" t="n"/>
      <c r="G595" s="36" t="n"/>
      <c r="H595" s="40" t="n"/>
      <c r="I595" s="40" t="n"/>
      <c r="J595" s="41">
        <f>IF(ISNUMBER(H595),H595,IF(AND(D595="労務費",TRIM(E595)&lt;&gt;""),IFERROR(INDEX('設定'!$G$12:$G$31,MATCH(TRIM(E595),'設定'!$J$12:$J$31,0)),""),""))</f>
        <v/>
      </c>
      <c r="K595" s="30">
        <f>IF(AND(ISNUMBER(F595),ISNUMBER(J595)),ROUND(F595*J595,0),IF(ISNUMBER(I595),I595,""))</f>
        <v/>
      </c>
      <c r="L595" s="33" t="n"/>
      <c r="M595" s="34">
        <f>IF(COUNTA(A595:B595,D595:I595,L595)=0,"",IF(B595="","案件番号がありません",IF(ISNA(MATCH(B595,'案件'!$A$6:$A$105,0)),"案件シートに無い番号です",IF(NOT(OR(D595="材料費",D595="労務費",D595="外注費",D595="経費")),"費目を4つから選んでください",IF(K595="",IF(AND(ISNUMBER(F595),NOT(ISNUMBER(J595))),IF(D595="労務費","単価がありません（設定の作業者名と同じ書き方に）","単価がありません"),IF(AND(ISNUMBER(J595),NOT(ISNUMBER(F595))),"数量がありません","金額がありません")),IF(NOT(ISNUMBER(A595)),"日付がありません（月別集計に入りません）",IF(AND(ISNUMBER(F595),ISNUMBER(J595),ISNUMBER(I595)),"数量×単価を使いました（金額の欄は使っていません）","")))))))</f>
        <v/>
      </c>
      <c r="N595" s="91">
        <f>IF(AND(B595&lt;&gt;"",B595='案件カード'!$C$3),COUNTIF($B$5:B595,'案件カード'!$C$3),"")</f>
        <v/>
      </c>
      <c r="O595" s="91">
        <f>IF(ISNUMBER(K595),IF(B595="",K595,IF(AND(ISNUMBER(MATCH(B595,'案件'!$A$6:$A$105,0)),OR(D595="材料費",D595="労務費",D595="外注費",D595="経費")),0,K595)),0)</f>
        <v/>
      </c>
    </row>
    <row r="596" ht="16" customHeight="1">
      <c r="A596" s="35" t="n"/>
      <c r="B596" s="36" t="n"/>
      <c r="C596" s="37">
        <f>IF(B596="","",IFERROR(INDEX('案件'!$B$6:$B$105,MATCH(B596,'案件'!$A$6:$A$105,0))&amp;"","（案件シートに無い番号）"))</f>
        <v/>
      </c>
      <c r="D596" s="36" t="n"/>
      <c r="E596" s="38" t="n"/>
      <c r="F596" s="39" t="n"/>
      <c r="G596" s="36" t="n"/>
      <c r="H596" s="40" t="n"/>
      <c r="I596" s="40" t="n"/>
      <c r="J596" s="41">
        <f>IF(ISNUMBER(H596),H596,IF(AND(D596="労務費",TRIM(E596)&lt;&gt;""),IFERROR(INDEX('設定'!$G$12:$G$31,MATCH(TRIM(E596),'設定'!$J$12:$J$31,0)),""),""))</f>
        <v/>
      </c>
      <c r="K596" s="30">
        <f>IF(AND(ISNUMBER(F596),ISNUMBER(J596)),ROUND(F596*J596,0),IF(ISNUMBER(I596),I596,""))</f>
        <v/>
      </c>
      <c r="L596" s="33" t="n"/>
      <c r="M596" s="34">
        <f>IF(COUNTA(A596:B596,D596:I596,L596)=0,"",IF(B596="","案件番号がありません",IF(ISNA(MATCH(B596,'案件'!$A$6:$A$105,0)),"案件シートに無い番号です",IF(NOT(OR(D596="材料費",D596="労務費",D596="外注費",D596="経費")),"費目を4つから選んでください",IF(K596="",IF(AND(ISNUMBER(F596),NOT(ISNUMBER(J596))),IF(D596="労務費","単価がありません（設定の作業者名と同じ書き方に）","単価がありません"),IF(AND(ISNUMBER(J596),NOT(ISNUMBER(F596))),"数量がありません","金額がありません")),IF(NOT(ISNUMBER(A596)),"日付がありません（月別集計に入りません）",IF(AND(ISNUMBER(F596),ISNUMBER(J596),ISNUMBER(I596)),"数量×単価を使いました（金額の欄は使っていません）","")))))))</f>
        <v/>
      </c>
      <c r="N596" s="91">
        <f>IF(AND(B596&lt;&gt;"",B596='案件カード'!$C$3),COUNTIF($B$5:B596,'案件カード'!$C$3),"")</f>
        <v/>
      </c>
      <c r="O596" s="91">
        <f>IF(ISNUMBER(K596),IF(B596="",K596,IF(AND(ISNUMBER(MATCH(B596,'案件'!$A$6:$A$105,0)),OR(D596="材料費",D596="労務費",D596="外注費",D596="経費")),0,K596)),0)</f>
        <v/>
      </c>
    </row>
    <row r="597" ht="16" customHeight="1">
      <c r="A597" s="35" t="n"/>
      <c r="B597" s="36" t="n"/>
      <c r="C597" s="37">
        <f>IF(B597="","",IFERROR(INDEX('案件'!$B$6:$B$105,MATCH(B597,'案件'!$A$6:$A$105,0))&amp;"","（案件シートに無い番号）"))</f>
        <v/>
      </c>
      <c r="D597" s="36" t="n"/>
      <c r="E597" s="38" t="n"/>
      <c r="F597" s="39" t="n"/>
      <c r="G597" s="36" t="n"/>
      <c r="H597" s="40" t="n"/>
      <c r="I597" s="40" t="n"/>
      <c r="J597" s="41">
        <f>IF(ISNUMBER(H597),H597,IF(AND(D597="労務費",TRIM(E597)&lt;&gt;""),IFERROR(INDEX('設定'!$G$12:$G$31,MATCH(TRIM(E597),'設定'!$J$12:$J$31,0)),""),""))</f>
        <v/>
      </c>
      <c r="K597" s="30">
        <f>IF(AND(ISNUMBER(F597),ISNUMBER(J597)),ROUND(F597*J597,0),IF(ISNUMBER(I597),I597,""))</f>
        <v/>
      </c>
      <c r="L597" s="33" t="n"/>
      <c r="M597" s="34">
        <f>IF(COUNTA(A597:B597,D597:I597,L597)=0,"",IF(B597="","案件番号がありません",IF(ISNA(MATCH(B597,'案件'!$A$6:$A$105,0)),"案件シートに無い番号です",IF(NOT(OR(D597="材料費",D597="労務費",D597="外注費",D597="経費")),"費目を4つから選んでください",IF(K597="",IF(AND(ISNUMBER(F597),NOT(ISNUMBER(J597))),IF(D597="労務費","単価がありません（設定の作業者名と同じ書き方に）","単価がありません"),IF(AND(ISNUMBER(J597),NOT(ISNUMBER(F597))),"数量がありません","金額がありません")),IF(NOT(ISNUMBER(A597)),"日付がありません（月別集計に入りません）",IF(AND(ISNUMBER(F597),ISNUMBER(J597),ISNUMBER(I597)),"数量×単価を使いました（金額の欄は使っていません）","")))))))</f>
        <v/>
      </c>
      <c r="N597" s="91">
        <f>IF(AND(B597&lt;&gt;"",B597='案件カード'!$C$3),COUNTIF($B$5:B597,'案件カード'!$C$3),"")</f>
        <v/>
      </c>
      <c r="O597" s="91">
        <f>IF(ISNUMBER(K597),IF(B597="",K597,IF(AND(ISNUMBER(MATCH(B597,'案件'!$A$6:$A$105,0)),OR(D597="材料費",D597="労務費",D597="外注費",D597="経費")),0,K597)),0)</f>
        <v/>
      </c>
    </row>
    <row r="598" ht="16" customHeight="1">
      <c r="A598" s="35" t="n"/>
      <c r="B598" s="36" t="n"/>
      <c r="C598" s="37">
        <f>IF(B598="","",IFERROR(INDEX('案件'!$B$6:$B$105,MATCH(B598,'案件'!$A$6:$A$105,0))&amp;"","（案件シートに無い番号）"))</f>
        <v/>
      </c>
      <c r="D598" s="36" t="n"/>
      <c r="E598" s="38" t="n"/>
      <c r="F598" s="39" t="n"/>
      <c r="G598" s="36" t="n"/>
      <c r="H598" s="40" t="n"/>
      <c r="I598" s="40" t="n"/>
      <c r="J598" s="41">
        <f>IF(ISNUMBER(H598),H598,IF(AND(D598="労務費",TRIM(E598)&lt;&gt;""),IFERROR(INDEX('設定'!$G$12:$G$31,MATCH(TRIM(E598),'設定'!$J$12:$J$31,0)),""),""))</f>
        <v/>
      </c>
      <c r="K598" s="30">
        <f>IF(AND(ISNUMBER(F598),ISNUMBER(J598)),ROUND(F598*J598,0),IF(ISNUMBER(I598),I598,""))</f>
        <v/>
      </c>
      <c r="L598" s="33" t="n"/>
      <c r="M598" s="34">
        <f>IF(COUNTA(A598:B598,D598:I598,L598)=0,"",IF(B598="","案件番号がありません",IF(ISNA(MATCH(B598,'案件'!$A$6:$A$105,0)),"案件シートに無い番号です",IF(NOT(OR(D598="材料費",D598="労務費",D598="外注費",D598="経費")),"費目を4つから選んでください",IF(K598="",IF(AND(ISNUMBER(F598),NOT(ISNUMBER(J598))),IF(D598="労務費","単価がありません（設定の作業者名と同じ書き方に）","単価がありません"),IF(AND(ISNUMBER(J598),NOT(ISNUMBER(F598))),"数量がありません","金額がありません")),IF(NOT(ISNUMBER(A598)),"日付がありません（月別集計に入りません）",IF(AND(ISNUMBER(F598),ISNUMBER(J598),ISNUMBER(I598)),"数量×単価を使いました（金額の欄は使っていません）","")))))))</f>
        <v/>
      </c>
      <c r="N598" s="91">
        <f>IF(AND(B598&lt;&gt;"",B598='案件カード'!$C$3),COUNTIF($B$5:B598,'案件カード'!$C$3),"")</f>
        <v/>
      </c>
      <c r="O598" s="91">
        <f>IF(ISNUMBER(K598),IF(B598="",K598,IF(AND(ISNUMBER(MATCH(B598,'案件'!$A$6:$A$105,0)),OR(D598="材料費",D598="労務費",D598="外注費",D598="経費")),0,K598)),0)</f>
        <v/>
      </c>
    </row>
    <row r="599" ht="16" customHeight="1">
      <c r="A599" s="35" t="n"/>
      <c r="B599" s="36" t="n"/>
      <c r="C599" s="37">
        <f>IF(B599="","",IFERROR(INDEX('案件'!$B$6:$B$105,MATCH(B599,'案件'!$A$6:$A$105,0))&amp;"","（案件シートに無い番号）"))</f>
        <v/>
      </c>
      <c r="D599" s="36" t="n"/>
      <c r="E599" s="38" t="n"/>
      <c r="F599" s="39" t="n"/>
      <c r="G599" s="36" t="n"/>
      <c r="H599" s="40" t="n"/>
      <c r="I599" s="40" t="n"/>
      <c r="J599" s="41">
        <f>IF(ISNUMBER(H599),H599,IF(AND(D599="労務費",TRIM(E599)&lt;&gt;""),IFERROR(INDEX('設定'!$G$12:$G$31,MATCH(TRIM(E599),'設定'!$J$12:$J$31,0)),""),""))</f>
        <v/>
      </c>
      <c r="K599" s="30">
        <f>IF(AND(ISNUMBER(F599),ISNUMBER(J599)),ROUND(F599*J599,0),IF(ISNUMBER(I599),I599,""))</f>
        <v/>
      </c>
      <c r="L599" s="33" t="n"/>
      <c r="M599" s="34">
        <f>IF(COUNTA(A599:B599,D599:I599,L599)=0,"",IF(B599="","案件番号がありません",IF(ISNA(MATCH(B599,'案件'!$A$6:$A$105,0)),"案件シートに無い番号です",IF(NOT(OR(D599="材料費",D599="労務費",D599="外注費",D599="経費")),"費目を4つから選んでください",IF(K599="",IF(AND(ISNUMBER(F599),NOT(ISNUMBER(J599))),IF(D599="労務費","単価がありません（設定の作業者名と同じ書き方に）","単価がありません"),IF(AND(ISNUMBER(J599),NOT(ISNUMBER(F599))),"数量がありません","金額がありません")),IF(NOT(ISNUMBER(A599)),"日付がありません（月別集計に入りません）",IF(AND(ISNUMBER(F599),ISNUMBER(J599),ISNUMBER(I599)),"数量×単価を使いました（金額の欄は使っていません）","")))))))</f>
        <v/>
      </c>
      <c r="N599" s="91">
        <f>IF(AND(B599&lt;&gt;"",B599='案件カード'!$C$3),COUNTIF($B$5:B599,'案件カード'!$C$3),"")</f>
        <v/>
      </c>
      <c r="O599" s="91">
        <f>IF(ISNUMBER(K599),IF(B599="",K599,IF(AND(ISNUMBER(MATCH(B599,'案件'!$A$6:$A$105,0)),OR(D599="材料費",D599="労務費",D599="外注費",D599="経費")),0,K599)),0)</f>
        <v/>
      </c>
    </row>
    <row r="600" ht="16" customHeight="1">
      <c r="A600" s="35" t="n"/>
      <c r="B600" s="36" t="n"/>
      <c r="C600" s="37">
        <f>IF(B600="","",IFERROR(INDEX('案件'!$B$6:$B$105,MATCH(B600,'案件'!$A$6:$A$105,0))&amp;"","（案件シートに無い番号）"))</f>
        <v/>
      </c>
      <c r="D600" s="36" t="n"/>
      <c r="E600" s="38" t="n"/>
      <c r="F600" s="39" t="n"/>
      <c r="G600" s="36" t="n"/>
      <c r="H600" s="40" t="n"/>
      <c r="I600" s="40" t="n"/>
      <c r="J600" s="41">
        <f>IF(ISNUMBER(H600),H600,IF(AND(D600="労務費",TRIM(E600)&lt;&gt;""),IFERROR(INDEX('設定'!$G$12:$G$31,MATCH(TRIM(E600),'設定'!$J$12:$J$31,0)),""),""))</f>
        <v/>
      </c>
      <c r="K600" s="30">
        <f>IF(AND(ISNUMBER(F600),ISNUMBER(J600)),ROUND(F600*J600,0),IF(ISNUMBER(I600),I600,""))</f>
        <v/>
      </c>
      <c r="L600" s="33" t="n"/>
      <c r="M600" s="34">
        <f>IF(COUNTA(A600:B600,D600:I600,L600)=0,"",IF(B600="","案件番号がありません",IF(ISNA(MATCH(B600,'案件'!$A$6:$A$105,0)),"案件シートに無い番号です",IF(NOT(OR(D600="材料費",D600="労務費",D600="外注費",D600="経費")),"費目を4つから選んでください",IF(K600="",IF(AND(ISNUMBER(F600),NOT(ISNUMBER(J600))),IF(D600="労務費","単価がありません（設定の作業者名と同じ書き方に）","単価がありません"),IF(AND(ISNUMBER(J600),NOT(ISNUMBER(F600))),"数量がありません","金額がありません")),IF(NOT(ISNUMBER(A600)),"日付がありません（月別集計に入りません）",IF(AND(ISNUMBER(F600),ISNUMBER(J600),ISNUMBER(I600)),"数量×単価を使いました（金額の欄は使っていません）","")))))))</f>
        <v/>
      </c>
      <c r="N600" s="91">
        <f>IF(AND(B600&lt;&gt;"",B600='案件カード'!$C$3),COUNTIF($B$5:B600,'案件カード'!$C$3),"")</f>
        <v/>
      </c>
      <c r="O600" s="91">
        <f>IF(ISNUMBER(K600),IF(B600="",K600,IF(AND(ISNUMBER(MATCH(B600,'案件'!$A$6:$A$105,0)),OR(D600="材料費",D600="労務費",D600="外注費",D600="経費")),0,K600)),0)</f>
        <v/>
      </c>
    </row>
    <row r="601" ht="16" customHeight="1">
      <c r="A601" s="35" t="n"/>
      <c r="B601" s="36" t="n"/>
      <c r="C601" s="37">
        <f>IF(B601="","",IFERROR(INDEX('案件'!$B$6:$B$105,MATCH(B601,'案件'!$A$6:$A$105,0))&amp;"","（案件シートに無い番号）"))</f>
        <v/>
      </c>
      <c r="D601" s="36" t="n"/>
      <c r="E601" s="38" t="n"/>
      <c r="F601" s="39" t="n"/>
      <c r="G601" s="36" t="n"/>
      <c r="H601" s="40" t="n"/>
      <c r="I601" s="40" t="n"/>
      <c r="J601" s="41">
        <f>IF(ISNUMBER(H601),H601,IF(AND(D601="労務費",TRIM(E601)&lt;&gt;""),IFERROR(INDEX('設定'!$G$12:$G$31,MATCH(TRIM(E601),'設定'!$J$12:$J$31,0)),""),""))</f>
        <v/>
      </c>
      <c r="K601" s="30">
        <f>IF(AND(ISNUMBER(F601),ISNUMBER(J601)),ROUND(F601*J601,0),IF(ISNUMBER(I601),I601,""))</f>
        <v/>
      </c>
      <c r="L601" s="33" t="n"/>
      <c r="M601" s="34">
        <f>IF(COUNTA(A601:B601,D601:I601,L601)=0,"",IF(B601="","案件番号がありません",IF(ISNA(MATCH(B601,'案件'!$A$6:$A$105,0)),"案件シートに無い番号です",IF(NOT(OR(D601="材料費",D601="労務費",D601="外注費",D601="経費")),"費目を4つから選んでください",IF(K601="",IF(AND(ISNUMBER(F601),NOT(ISNUMBER(J601))),IF(D601="労務費","単価がありません（設定の作業者名と同じ書き方に）","単価がありません"),IF(AND(ISNUMBER(J601),NOT(ISNUMBER(F601))),"数量がありません","金額がありません")),IF(NOT(ISNUMBER(A601)),"日付がありません（月別集計に入りません）",IF(AND(ISNUMBER(F601),ISNUMBER(J601),ISNUMBER(I601)),"数量×単価を使いました（金額の欄は使っていません）","")))))))</f>
        <v/>
      </c>
      <c r="N601" s="91">
        <f>IF(AND(B601&lt;&gt;"",B601='案件カード'!$C$3),COUNTIF($B$5:B601,'案件カード'!$C$3),"")</f>
        <v/>
      </c>
      <c r="O601" s="91">
        <f>IF(ISNUMBER(K601),IF(B601="",K601,IF(AND(ISNUMBER(MATCH(B601,'案件'!$A$6:$A$105,0)),OR(D601="材料費",D601="労務費",D601="外注費",D601="経費")),0,K601)),0)</f>
        <v/>
      </c>
    </row>
    <row r="602" ht="16" customHeight="1">
      <c r="A602" s="35" t="n"/>
      <c r="B602" s="36" t="n"/>
      <c r="C602" s="37">
        <f>IF(B602="","",IFERROR(INDEX('案件'!$B$6:$B$105,MATCH(B602,'案件'!$A$6:$A$105,0))&amp;"","（案件シートに無い番号）"))</f>
        <v/>
      </c>
      <c r="D602" s="36" t="n"/>
      <c r="E602" s="38" t="n"/>
      <c r="F602" s="39" t="n"/>
      <c r="G602" s="36" t="n"/>
      <c r="H602" s="40" t="n"/>
      <c r="I602" s="40" t="n"/>
      <c r="J602" s="41">
        <f>IF(ISNUMBER(H602),H602,IF(AND(D602="労務費",TRIM(E602)&lt;&gt;""),IFERROR(INDEX('設定'!$G$12:$G$31,MATCH(TRIM(E602),'設定'!$J$12:$J$31,0)),""),""))</f>
        <v/>
      </c>
      <c r="K602" s="30">
        <f>IF(AND(ISNUMBER(F602),ISNUMBER(J602)),ROUND(F602*J602,0),IF(ISNUMBER(I602),I602,""))</f>
        <v/>
      </c>
      <c r="L602" s="33" t="n"/>
      <c r="M602" s="34">
        <f>IF(COUNTA(A602:B602,D602:I602,L602)=0,"",IF(B602="","案件番号がありません",IF(ISNA(MATCH(B602,'案件'!$A$6:$A$105,0)),"案件シートに無い番号です",IF(NOT(OR(D602="材料費",D602="労務費",D602="外注費",D602="経費")),"費目を4つから選んでください",IF(K602="",IF(AND(ISNUMBER(F602),NOT(ISNUMBER(J602))),IF(D602="労務費","単価がありません（設定の作業者名と同じ書き方に）","単価がありません"),IF(AND(ISNUMBER(J602),NOT(ISNUMBER(F602))),"数量がありません","金額がありません")),IF(NOT(ISNUMBER(A602)),"日付がありません（月別集計に入りません）",IF(AND(ISNUMBER(F602),ISNUMBER(J602),ISNUMBER(I602)),"数量×単価を使いました（金額の欄は使っていません）","")))))))</f>
        <v/>
      </c>
      <c r="N602" s="91">
        <f>IF(AND(B602&lt;&gt;"",B602='案件カード'!$C$3),COUNTIF($B$5:B602,'案件カード'!$C$3),"")</f>
        <v/>
      </c>
      <c r="O602" s="91">
        <f>IF(ISNUMBER(K602),IF(B602="",K602,IF(AND(ISNUMBER(MATCH(B602,'案件'!$A$6:$A$105,0)),OR(D602="材料費",D602="労務費",D602="外注費",D602="経費")),0,K602)),0)</f>
        <v/>
      </c>
    </row>
    <row r="603" ht="16" customHeight="1">
      <c r="A603" s="35" t="n"/>
      <c r="B603" s="36" t="n"/>
      <c r="C603" s="37">
        <f>IF(B603="","",IFERROR(INDEX('案件'!$B$6:$B$105,MATCH(B603,'案件'!$A$6:$A$105,0))&amp;"","（案件シートに無い番号）"))</f>
        <v/>
      </c>
      <c r="D603" s="36" t="n"/>
      <c r="E603" s="38" t="n"/>
      <c r="F603" s="39" t="n"/>
      <c r="G603" s="36" t="n"/>
      <c r="H603" s="40" t="n"/>
      <c r="I603" s="40" t="n"/>
      <c r="J603" s="41">
        <f>IF(ISNUMBER(H603),H603,IF(AND(D603="労務費",TRIM(E603)&lt;&gt;""),IFERROR(INDEX('設定'!$G$12:$G$31,MATCH(TRIM(E603),'設定'!$J$12:$J$31,0)),""),""))</f>
        <v/>
      </c>
      <c r="K603" s="30">
        <f>IF(AND(ISNUMBER(F603),ISNUMBER(J603)),ROUND(F603*J603,0),IF(ISNUMBER(I603),I603,""))</f>
        <v/>
      </c>
      <c r="L603" s="33" t="n"/>
      <c r="M603" s="34">
        <f>IF(COUNTA(A603:B603,D603:I603,L603)=0,"",IF(B603="","案件番号がありません",IF(ISNA(MATCH(B603,'案件'!$A$6:$A$105,0)),"案件シートに無い番号です",IF(NOT(OR(D603="材料費",D603="労務費",D603="外注費",D603="経費")),"費目を4つから選んでください",IF(K603="",IF(AND(ISNUMBER(F603),NOT(ISNUMBER(J603))),IF(D603="労務費","単価がありません（設定の作業者名と同じ書き方に）","単価がありません"),IF(AND(ISNUMBER(J603),NOT(ISNUMBER(F603))),"数量がありません","金額がありません")),IF(NOT(ISNUMBER(A603)),"日付がありません（月別集計に入りません）",IF(AND(ISNUMBER(F603),ISNUMBER(J603),ISNUMBER(I603)),"数量×単価を使いました（金額の欄は使っていません）","")))))))</f>
        <v/>
      </c>
      <c r="N603" s="91">
        <f>IF(AND(B603&lt;&gt;"",B603='案件カード'!$C$3),COUNTIF($B$5:B603,'案件カード'!$C$3),"")</f>
        <v/>
      </c>
      <c r="O603" s="91">
        <f>IF(ISNUMBER(K603),IF(B603="",K603,IF(AND(ISNUMBER(MATCH(B603,'案件'!$A$6:$A$105,0)),OR(D603="材料費",D603="労務費",D603="外注費",D603="経費")),0,K603)),0)</f>
        <v/>
      </c>
    </row>
    <row r="604" ht="16" customHeight="1">
      <c r="A604" s="35" t="n"/>
      <c r="B604" s="36" t="n"/>
      <c r="C604" s="37">
        <f>IF(B604="","",IFERROR(INDEX('案件'!$B$6:$B$105,MATCH(B604,'案件'!$A$6:$A$105,0))&amp;"","（案件シートに無い番号）"))</f>
        <v/>
      </c>
      <c r="D604" s="36" t="n"/>
      <c r="E604" s="38" t="n"/>
      <c r="F604" s="39" t="n"/>
      <c r="G604" s="36" t="n"/>
      <c r="H604" s="40" t="n"/>
      <c r="I604" s="40" t="n"/>
      <c r="J604" s="41">
        <f>IF(ISNUMBER(H604),H604,IF(AND(D604="労務費",TRIM(E604)&lt;&gt;""),IFERROR(INDEX('設定'!$G$12:$G$31,MATCH(TRIM(E604),'設定'!$J$12:$J$31,0)),""),""))</f>
        <v/>
      </c>
      <c r="K604" s="30">
        <f>IF(AND(ISNUMBER(F604),ISNUMBER(J604)),ROUND(F604*J604,0),IF(ISNUMBER(I604),I604,""))</f>
        <v/>
      </c>
      <c r="L604" s="33" t="n"/>
      <c r="M604" s="34">
        <f>IF(COUNTA(A604:B604,D604:I604,L604)=0,"",IF(B604="","案件番号がありません",IF(ISNA(MATCH(B604,'案件'!$A$6:$A$105,0)),"案件シートに無い番号です",IF(NOT(OR(D604="材料費",D604="労務費",D604="外注費",D604="経費")),"費目を4つから選んでください",IF(K604="",IF(AND(ISNUMBER(F604),NOT(ISNUMBER(J604))),IF(D604="労務費","単価がありません（設定の作業者名と同じ書き方に）","単価がありません"),IF(AND(ISNUMBER(J604),NOT(ISNUMBER(F604))),"数量がありません","金額がありません")),IF(NOT(ISNUMBER(A604)),"日付がありません（月別集計に入りません）",IF(AND(ISNUMBER(F604),ISNUMBER(J604),ISNUMBER(I604)),"数量×単価を使いました（金額の欄は使っていません）","")))))))</f>
        <v/>
      </c>
      <c r="N604" s="91">
        <f>IF(AND(B604&lt;&gt;"",B604='案件カード'!$C$3),COUNTIF($B$5:B604,'案件カード'!$C$3),"")</f>
        <v/>
      </c>
      <c r="O604" s="91">
        <f>IF(ISNUMBER(K604),IF(B604="",K604,IF(AND(ISNUMBER(MATCH(B604,'案件'!$A$6:$A$105,0)),OR(D604="材料費",D604="労務費",D604="外注費",D604="経費")),0,K604)),0)</f>
        <v/>
      </c>
    </row>
    <row r="605" ht="16" customHeight="1">
      <c r="A605" s="35" t="n"/>
      <c r="B605" s="36" t="n"/>
      <c r="C605" s="37">
        <f>IF(B605="","",IFERROR(INDEX('案件'!$B$6:$B$105,MATCH(B605,'案件'!$A$6:$A$105,0))&amp;"","（案件シートに無い番号）"))</f>
        <v/>
      </c>
      <c r="D605" s="36" t="n"/>
      <c r="E605" s="38" t="n"/>
      <c r="F605" s="39" t="n"/>
      <c r="G605" s="36" t="n"/>
      <c r="H605" s="40" t="n"/>
      <c r="I605" s="40" t="n"/>
      <c r="J605" s="41">
        <f>IF(ISNUMBER(H605),H605,IF(AND(D605="労務費",TRIM(E605)&lt;&gt;""),IFERROR(INDEX('設定'!$G$12:$G$31,MATCH(TRIM(E605),'設定'!$J$12:$J$31,0)),""),""))</f>
        <v/>
      </c>
      <c r="K605" s="30">
        <f>IF(AND(ISNUMBER(F605),ISNUMBER(J605)),ROUND(F605*J605,0),IF(ISNUMBER(I605),I605,""))</f>
        <v/>
      </c>
      <c r="L605" s="33" t="n"/>
      <c r="M605" s="34">
        <f>IF(COUNTA(A605:B605,D605:I605,L605)=0,"",IF(B605="","案件番号がありません",IF(ISNA(MATCH(B605,'案件'!$A$6:$A$105,0)),"案件シートに無い番号です",IF(NOT(OR(D605="材料費",D605="労務費",D605="外注費",D605="経費")),"費目を4つから選んでください",IF(K605="",IF(AND(ISNUMBER(F605),NOT(ISNUMBER(J605))),IF(D605="労務費","単価がありません（設定の作業者名と同じ書き方に）","単価がありません"),IF(AND(ISNUMBER(J605),NOT(ISNUMBER(F605))),"数量がありません","金額がありません")),IF(NOT(ISNUMBER(A605)),"日付がありません（月別集計に入りません）",IF(AND(ISNUMBER(F605),ISNUMBER(J605),ISNUMBER(I605)),"数量×単価を使いました（金額の欄は使っていません）","")))))))</f>
        <v/>
      </c>
      <c r="N605" s="91">
        <f>IF(AND(B605&lt;&gt;"",B605='案件カード'!$C$3),COUNTIF($B$5:B605,'案件カード'!$C$3),"")</f>
        <v/>
      </c>
      <c r="O605" s="91">
        <f>IF(ISNUMBER(K605),IF(B605="",K605,IF(AND(ISNUMBER(MATCH(B605,'案件'!$A$6:$A$105,0)),OR(D605="材料費",D605="労務費",D605="外注費",D605="経費")),0,K605)),0)</f>
        <v/>
      </c>
    </row>
    <row r="606" ht="16" customHeight="1">
      <c r="A606" s="35" t="n"/>
      <c r="B606" s="36" t="n"/>
      <c r="C606" s="37">
        <f>IF(B606="","",IFERROR(INDEX('案件'!$B$6:$B$105,MATCH(B606,'案件'!$A$6:$A$105,0))&amp;"","（案件シートに無い番号）"))</f>
        <v/>
      </c>
      <c r="D606" s="36" t="n"/>
      <c r="E606" s="38" t="n"/>
      <c r="F606" s="39" t="n"/>
      <c r="G606" s="36" t="n"/>
      <c r="H606" s="40" t="n"/>
      <c r="I606" s="40" t="n"/>
      <c r="J606" s="41">
        <f>IF(ISNUMBER(H606),H606,IF(AND(D606="労務費",TRIM(E606)&lt;&gt;""),IFERROR(INDEX('設定'!$G$12:$G$31,MATCH(TRIM(E606),'設定'!$J$12:$J$31,0)),""),""))</f>
        <v/>
      </c>
      <c r="K606" s="30">
        <f>IF(AND(ISNUMBER(F606),ISNUMBER(J606)),ROUND(F606*J606,0),IF(ISNUMBER(I606),I606,""))</f>
        <v/>
      </c>
      <c r="L606" s="33" t="n"/>
      <c r="M606" s="34">
        <f>IF(COUNTA(A606:B606,D606:I606,L606)=0,"",IF(B606="","案件番号がありません",IF(ISNA(MATCH(B606,'案件'!$A$6:$A$105,0)),"案件シートに無い番号です",IF(NOT(OR(D606="材料費",D606="労務費",D606="外注費",D606="経費")),"費目を4つから選んでください",IF(K606="",IF(AND(ISNUMBER(F606),NOT(ISNUMBER(J606))),IF(D606="労務費","単価がありません（設定の作業者名と同じ書き方に）","単価がありません"),IF(AND(ISNUMBER(J606),NOT(ISNUMBER(F606))),"数量がありません","金額がありません")),IF(NOT(ISNUMBER(A606)),"日付がありません（月別集計に入りません）",IF(AND(ISNUMBER(F606),ISNUMBER(J606),ISNUMBER(I606)),"数量×単価を使いました（金額の欄は使っていません）","")))))))</f>
        <v/>
      </c>
      <c r="N606" s="91">
        <f>IF(AND(B606&lt;&gt;"",B606='案件カード'!$C$3),COUNTIF($B$5:B606,'案件カード'!$C$3),"")</f>
        <v/>
      </c>
      <c r="O606" s="91">
        <f>IF(ISNUMBER(K606),IF(B606="",K606,IF(AND(ISNUMBER(MATCH(B606,'案件'!$A$6:$A$105,0)),OR(D606="材料費",D606="労務費",D606="外注費",D606="経費")),0,K606)),0)</f>
        <v/>
      </c>
    </row>
    <row r="607" ht="16" customHeight="1">
      <c r="A607" s="35" t="n"/>
      <c r="B607" s="36" t="n"/>
      <c r="C607" s="37">
        <f>IF(B607="","",IFERROR(INDEX('案件'!$B$6:$B$105,MATCH(B607,'案件'!$A$6:$A$105,0))&amp;"","（案件シートに無い番号）"))</f>
        <v/>
      </c>
      <c r="D607" s="36" t="n"/>
      <c r="E607" s="38" t="n"/>
      <c r="F607" s="39" t="n"/>
      <c r="G607" s="36" t="n"/>
      <c r="H607" s="40" t="n"/>
      <c r="I607" s="40" t="n"/>
      <c r="J607" s="41">
        <f>IF(ISNUMBER(H607),H607,IF(AND(D607="労務費",TRIM(E607)&lt;&gt;""),IFERROR(INDEX('設定'!$G$12:$G$31,MATCH(TRIM(E607),'設定'!$J$12:$J$31,0)),""),""))</f>
        <v/>
      </c>
      <c r="K607" s="30">
        <f>IF(AND(ISNUMBER(F607),ISNUMBER(J607)),ROUND(F607*J607,0),IF(ISNUMBER(I607),I607,""))</f>
        <v/>
      </c>
      <c r="L607" s="33" t="n"/>
      <c r="M607" s="34">
        <f>IF(COUNTA(A607:B607,D607:I607,L607)=0,"",IF(B607="","案件番号がありません",IF(ISNA(MATCH(B607,'案件'!$A$6:$A$105,0)),"案件シートに無い番号です",IF(NOT(OR(D607="材料費",D607="労務費",D607="外注費",D607="経費")),"費目を4つから選んでください",IF(K607="",IF(AND(ISNUMBER(F607),NOT(ISNUMBER(J607))),IF(D607="労務費","単価がありません（設定の作業者名と同じ書き方に）","単価がありません"),IF(AND(ISNUMBER(J607),NOT(ISNUMBER(F607))),"数量がありません","金額がありません")),IF(NOT(ISNUMBER(A607)),"日付がありません（月別集計に入りません）",IF(AND(ISNUMBER(F607),ISNUMBER(J607),ISNUMBER(I607)),"数量×単価を使いました（金額の欄は使っていません）","")))))))</f>
        <v/>
      </c>
      <c r="N607" s="91">
        <f>IF(AND(B607&lt;&gt;"",B607='案件カード'!$C$3),COUNTIF($B$5:B607,'案件カード'!$C$3),"")</f>
        <v/>
      </c>
      <c r="O607" s="91">
        <f>IF(ISNUMBER(K607),IF(B607="",K607,IF(AND(ISNUMBER(MATCH(B607,'案件'!$A$6:$A$105,0)),OR(D607="材料費",D607="労務費",D607="外注費",D607="経費")),0,K607)),0)</f>
        <v/>
      </c>
    </row>
    <row r="608" ht="16" customHeight="1">
      <c r="A608" s="35" t="n"/>
      <c r="B608" s="36" t="n"/>
      <c r="C608" s="37">
        <f>IF(B608="","",IFERROR(INDEX('案件'!$B$6:$B$105,MATCH(B608,'案件'!$A$6:$A$105,0))&amp;"","（案件シートに無い番号）"))</f>
        <v/>
      </c>
      <c r="D608" s="36" t="n"/>
      <c r="E608" s="38" t="n"/>
      <c r="F608" s="39" t="n"/>
      <c r="G608" s="36" t="n"/>
      <c r="H608" s="40" t="n"/>
      <c r="I608" s="40" t="n"/>
      <c r="J608" s="41">
        <f>IF(ISNUMBER(H608),H608,IF(AND(D608="労務費",TRIM(E608)&lt;&gt;""),IFERROR(INDEX('設定'!$G$12:$G$31,MATCH(TRIM(E608),'設定'!$J$12:$J$31,0)),""),""))</f>
        <v/>
      </c>
      <c r="K608" s="30">
        <f>IF(AND(ISNUMBER(F608),ISNUMBER(J608)),ROUND(F608*J608,0),IF(ISNUMBER(I608),I608,""))</f>
        <v/>
      </c>
      <c r="L608" s="33" t="n"/>
      <c r="M608" s="34">
        <f>IF(COUNTA(A608:B608,D608:I608,L608)=0,"",IF(B608="","案件番号がありません",IF(ISNA(MATCH(B608,'案件'!$A$6:$A$105,0)),"案件シートに無い番号です",IF(NOT(OR(D608="材料費",D608="労務費",D608="外注費",D608="経費")),"費目を4つから選んでください",IF(K608="",IF(AND(ISNUMBER(F608),NOT(ISNUMBER(J608))),IF(D608="労務費","単価がありません（設定の作業者名と同じ書き方に）","単価がありません"),IF(AND(ISNUMBER(J608),NOT(ISNUMBER(F608))),"数量がありません","金額がありません")),IF(NOT(ISNUMBER(A608)),"日付がありません（月別集計に入りません）",IF(AND(ISNUMBER(F608),ISNUMBER(J608),ISNUMBER(I608)),"数量×単価を使いました（金額の欄は使っていません）","")))))))</f>
        <v/>
      </c>
      <c r="N608" s="91">
        <f>IF(AND(B608&lt;&gt;"",B608='案件カード'!$C$3),COUNTIF($B$5:B608,'案件カード'!$C$3),"")</f>
        <v/>
      </c>
      <c r="O608" s="91">
        <f>IF(ISNUMBER(K608),IF(B608="",K608,IF(AND(ISNUMBER(MATCH(B608,'案件'!$A$6:$A$105,0)),OR(D608="材料費",D608="労務費",D608="外注費",D608="経費")),0,K608)),0)</f>
        <v/>
      </c>
    </row>
    <row r="609" ht="16" customHeight="1">
      <c r="A609" s="35" t="n"/>
      <c r="B609" s="36" t="n"/>
      <c r="C609" s="37">
        <f>IF(B609="","",IFERROR(INDEX('案件'!$B$6:$B$105,MATCH(B609,'案件'!$A$6:$A$105,0))&amp;"","（案件シートに無い番号）"))</f>
        <v/>
      </c>
      <c r="D609" s="36" t="n"/>
      <c r="E609" s="38" t="n"/>
      <c r="F609" s="39" t="n"/>
      <c r="G609" s="36" t="n"/>
      <c r="H609" s="40" t="n"/>
      <c r="I609" s="40" t="n"/>
      <c r="J609" s="41">
        <f>IF(ISNUMBER(H609),H609,IF(AND(D609="労務費",TRIM(E609)&lt;&gt;""),IFERROR(INDEX('設定'!$G$12:$G$31,MATCH(TRIM(E609),'設定'!$J$12:$J$31,0)),""),""))</f>
        <v/>
      </c>
      <c r="K609" s="30">
        <f>IF(AND(ISNUMBER(F609),ISNUMBER(J609)),ROUND(F609*J609,0),IF(ISNUMBER(I609),I609,""))</f>
        <v/>
      </c>
      <c r="L609" s="33" t="n"/>
      <c r="M609" s="34">
        <f>IF(COUNTA(A609:B609,D609:I609,L609)=0,"",IF(B609="","案件番号がありません",IF(ISNA(MATCH(B609,'案件'!$A$6:$A$105,0)),"案件シートに無い番号です",IF(NOT(OR(D609="材料費",D609="労務費",D609="外注費",D609="経費")),"費目を4つから選んでください",IF(K609="",IF(AND(ISNUMBER(F609),NOT(ISNUMBER(J609))),IF(D609="労務費","単価がありません（設定の作業者名と同じ書き方に）","単価がありません"),IF(AND(ISNUMBER(J609),NOT(ISNUMBER(F609))),"数量がありません","金額がありません")),IF(NOT(ISNUMBER(A609)),"日付がありません（月別集計に入りません）",IF(AND(ISNUMBER(F609),ISNUMBER(J609),ISNUMBER(I609)),"数量×単価を使いました（金額の欄は使っていません）","")))))))</f>
        <v/>
      </c>
      <c r="N609" s="91">
        <f>IF(AND(B609&lt;&gt;"",B609='案件カード'!$C$3),COUNTIF($B$5:B609,'案件カード'!$C$3),"")</f>
        <v/>
      </c>
      <c r="O609" s="91">
        <f>IF(ISNUMBER(K609),IF(B609="",K609,IF(AND(ISNUMBER(MATCH(B609,'案件'!$A$6:$A$105,0)),OR(D609="材料費",D609="労務費",D609="外注費",D609="経費")),0,K609)),0)</f>
        <v/>
      </c>
    </row>
    <row r="610" ht="16" customHeight="1">
      <c r="A610" s="35" t="n"/>
      <c r="B610" s="36" t="n"/>
      <c r="C610" s="37">
        <f>IF(B610="","",IFERROR(INDEX('案件'!$B$6:$B$105,MATCH(B610,'案件'!$A$6:$A$105,0))&amp;"","（案件シートに無い番号）"))</f>
        <v/>
      </c>
      <c r="D610" s="36" t="n"/>
      <c r="E610" s="38" t="n"/>
      <c r="F610" s="39" t="n"/>
      <c r="G610" s="36" t="n"/>
      <c r="H610" s="40" t="n"/>
      <c r="I610" s="40" t="n"/>
      <c r="J610" s="41">
        <f>IF(ISNUMBER(H610),H610,IF(AND(D610="労務費",TRIM(E610)&lt;&gt;""),IFERROR(INDEX('設定'!$G$12:$G$31,MATCH(TRIM(E610),'設定'!$J$12:$J$31,0)),""),""))</f>
        <v/>
      </c>
      <c r="K610" s="30">
        <f>IF(AND(ISNUMBER(F610),ISNUMBER(J610)),ROUND(F610*J610,0),IF(ISNUMBER(I610),I610,""))</f>
        <v/>
      </c>
      <c r="L610" s="33" t="n"/>
      <c r="M610" s="34">
        <f>IF(COUNTA(A610:B610,D610:I610,L610)=0,"",IF(B610="","案件番号がありません",IF(ISNA(MATCH(B610,'案件'!$A$6:$A$105,0)),"案件シートに無い番号です",IF(NOT(OR(D610="材料費",D610="労務費",D610="外注費",D610="経費")),"費目を4つから選んでください",IF(K610="",IF(AND(ISNUMBER(F610),NOT(ISNUMBER(J610))),IF(D610="労務費","単価がありません（設定の作業者名と同じ書き方に）","単価がありません"),IF(AND(ISNUMBER(J610),NOT(ISNUMBER(F610))),"数量がありません","金額がありません")),IF(NOT(ISNUMBER(A610)),"日付がありません（月別集計に入りません）",IF(AND(ISNUMBER(F610),ISNUMBER(J610),ISNUMBER(I610)),"数量×単価を使いました（金額の欄は使っていません）","")))))))</f>
        <v/>
      </c>
      <c r="N610" s="91">
        <f>IF(AND(B610&lt;&gt;"",B610='案件カード'!$C$3),COUNTIF($B$5:B610,'案件カード'!$C$3),"")</f>
        <v/>
      </c>
      <c r="O610" s="91">
        <f>IF(ISNUMBER(K610),IF(B610="",K610,IF(AND(ISNUMBER(MATCH(B610,'案件'!$A$6:$A$105,0)),OR(D610="材料費",D610="労務費",D610="外注費",D610="経費")),0,K610)),0)</f>
        <v/>
      </c>
    </row>
    <row r="611" ht="16" customHeight="1">
      <c r="A611" s="35" t="n"/>
      <c r="B611" s="36" t="n"/>
      <c r="C611" s="37">
        <f>IF(B611="","",IFERROR(INDEX('案件'!$B$6:$B$105,MATCH(B611,'案件'!$A$6:$A$105,0))&amp;"","（案件シートに無い番号）"))</f>
        <v/>
      </c>
      <c r="D611" s="36" t="n"/>
      <c r="E611" s="38" t="n"/>
      <c r="F611" s="39" t="n"/>
      <c r="G611" s="36" t="n"/>
      <c r="H611" s="40" t="n"/>
      <c r="I611" s="40" t="n"/>
      <c r="J611" s="41">
        <f>IF(ISNUMBER(H611),H611,IF(AND(D611="労務費",TRIM(E611)&lt;&gt;""),IFERROR(INDEX('設定'!$G$12:$G$31,MATCH(TRIM(E611),'設定'!$J$12:$J$31,0)),""),""))</f>
        <v/>
      </c>
      <c r="K611" s="30">
        <f>IF(AND(ISNUMBER(F611),ISNUMBER(J611)),ROUND(F611*J611,0),IF(ISNUMBER(I611),I611,""))</f>
        <v/>
      </c>
      <c r="L611" s="33" t="n"/>
      <c r="M611" s="34">
        <f>IF(COUNTA(A611:B611,D611:I611,L611)=0,"",IF(B611="","案件番号がありません",IF(ISNA(MATCH(B611,'案件'!$A$6:$A$105,0)),"案件シートに無い番号です",IF(NOT(OR(D611="材料費",D611="労務費",D611="外注費",D611="経費")),"費目を4つから選んでください",IF(K611="",IF(AND(ISNUMBER(F611),NOT(ISNUMBER(J611))),IF(D611="労務費","単価がありません（設定の作業者名と同じ書き方に）","単価がありません"),IF(AND(ISNUMBER(J611),NOT(ISNUMBER(F611))),"数量がありません","金額がありません")),IF(NOT(ISNUMBER(A611)),"日付がありません（月別集計に入りません）",IF(AND(ISNUMBER(F611),ISNUMBER(J611),ISNUMBER(I611)),"数量×単価を使いました（金額の欄は使っていません）","")))))))</f>
        <v/>
      </c>
      <c r="N611" s="91">
        <f>IF(AND(B611&lt;&gt;"",B611='案件カード'!$C$3),COUNTIF($B$5:B611,'案件カード'!$C$3),"")</f>
        <v/>
      </c>
      <c r="O611" s="91">
        <f>IF(ISNUMBER(K611),IF(B611="",K611,IF(AND(ISNUMBER(MATCH(B611,'案件'!$A$6:$A$105,0)),OR(D611="材料費",D611="労務費",D611="外注費",D611="経費")),0,K611)),0)</f>
        <v/>
      </c>
    </row>
    <row r="612" ht="16" customHeight="1">
      <c r="A612" s="35" t="n"/>
      <c r="B612" s="36" t="n"/>
      <c r="C612" s="37">
        <f>IF(B612="","",IFERROR(INDEX('案件'!$B$6:$B$105,MATCH(B612,'案件'!$A$6:$A$105,0))&amp;"","（案件シートに無い番号）"))</f>
        <v/>
      </c>
      <c r="D612" s="36" t="n"/>
      <c r="E612" s="38" t="n"/>
      <c r="F612" s="39" t="n"/>
      <c r="G612" s="36" t="n"/>
      <c r="H612" s="40" t="n"/>
      <c r="I612" s="40" t="n"/>
      <c r="J612" s="41">
        <f>IF(ISNUMBER(H612),H612,IF(AND(D612="労務費",TRIM(E612)&lt;&gt;""),IFERROR(INDEX('設定'!$G$12:$G$31,MATCH(TRIM(E612),'設定'!$J$12:$J$31,0)),""),""))</f>
        <v/>
      </c>
      <c r="K612" s="30">
        <f>IF(AND(ISNUMBER(F612),ISNUMBER(J612)),ROUND(F612*J612,0),IF(ISNUMBER(I612),I612,""))</f>
        <v/>
      </c>
      <c r="L612" s="33" t="n"/>
      <c r="M612" s="34">
        <f>IF(COUNTA(A612:B612,D612:I612,L612)=0,"",IF(B612="","案件番号がありません",IF(ISNA(MATCH(B612,'案件'!$A$6:$A$105,0)),"案件シートに無い番号です",IF(NOT(OR(D612="材料費",D612="労務費",D612="外注費",D612="経費")),"費目を4つから選んでください",IF(K612="",IF(AND(ISNUMBER(F612),NOT(ISNUMBER(J612))),IF(D612="労務費","単価がありません（設定の作業者名と同じ書き方に）","単価がありません"),IF(AND(ISNUMBER(J612),NOT(ISNUMBER(F612))),"数量がありません","金額がありません")),IF(NOT(ISNUMBER(A612)),"日付がありません（月別集計に入りません）",IF(AND(ISNUMBER(F612),ISNUMBER(J612),ISNUMBER(I612)),"数量×単価を使いました（金額の欄は使っていません）","")))))))</f>
        <v/>
      </c>
      <c r="N612" s="91">
        <f>IF(AND(B612&lt;&gt;"",B612='案件カード'!$C$3),COUNTIF($B$5:B612,'案件カード'!$C$3),"")</f>
        <v/>
      </c>
      <c r="O612" s="91">
        <f>IF(ISNUMBER(K612),IF(B612="",K612,IF(AND(ISNUMBER(MATCH(B612,'案件'!$A$6:$A$105,0)),OR(D612="材料費",D612="労務費",D612="外注費",D612="経費")),0,K612)),0)</f>
        <v/>
      </c>
    </row>
    <row r="613" ht="16" customHeight="1">
      <c r="A613" s="35" t="n"/>
      <c r="B613" s="36" t="n"/>
      <c r="C613" s="37">
        <f>IF(B613="","",IFERROR(INDEX('案件'!$B$6:$B$105,MATCH(B613,'案件'!$A$6:$A$105,0))&amp;"","（案件シートに無い番号）"))</f>
        <v/>
      </c>
      <c r="D613" s="36" t="n"/>
      <c r="E613" s="38" t="n"/>
      <c r="F613" s="39" t="n"/>
      <c r="G613" s="36" t="n"/>
      <c r="H613" s="40" t="n"/>
      <c r="I613" s="40" t="n"/>
      <c r="J613" s="41">
        <f>IF(ISNUMBER(H613),H613,IF(AND(D613="労務費",TRIM(E613)&lt;&gt;""),IFERROR(INDEX('設定'!$G$12:$G$31,MATCH(TRIM(E613),'設定'!$J$12:$J$31,0)),""),""))</f>
        <v/>
      </c>
      <c r="K613" s="30">
        <f>IF(AND(ISNUMBER(F613),ISNUMBER(J613)),ROUND(F613*J613,0),IF(ISNUMBER(I613),I613,""))</f>
        <v/>
      </c>
      <c r="L613" s="33" t="n"/>
      <c r="M613" s="34">
        <f>IF(COUNTA(A613:B613,D613:I613,L613)=0,"",IF(B613="","案件番号がありません",IF(ISNA(MATCH(B613,'案件'!$A$6:$A$105,0)),"案件シートに無い番号です",IF(NOT(OR(D613="材料費",D613="労務費",D613="外注費",D613="経費")),"費目を4つから選んでください",IF(K613="",IF(AND(ISNUMBER(F613),NOT(ISNUMBER(J613))),IF(D613="労務費","単価がありません（設定の作業者名と同じ書き方に）","単価がありません"),IF(AND(ISNUMBER(J613),NOT(ISNUMBER(F613))),"数量がありません","金額がありません")),IF(NOT(ISNUMBER(A613)),"日付がありません（月別集計に入りません）",IF(AND(ISNUMBER(F613),ISNUMBER(J613),ISNUMBER(I613)),"数量×単価を使いました（金額の欄は使っていません）","")))))))</f>
        <v/>
      </c>
      <c r="N613" s="91">
        <f>IF(AND(B613&lt;&gt;"",B613='案件カード'!$C$3),COUNTIF($B$5:B613,'案件カード'!$C$3),"")</f>
        <v/>
      </c>
      <c r="O613" s="91">
        <f>IF(ISNUMBER(K613),IF(B613="",K613,IF(AND(ISNUMBER(MATCH(B613,'案件'!$A$6:$A$105,0)),OR(D613="材料費",D613="労務費",D613="外注費",D613="経費")),0,K613)),0)</f>
        <v/>
      </c>
    </row>
    <row r="614" ht="16" customHeight="1">
      <c r="A614" s="35" t="n"/>
      <c r="B614" s="36" t="n"/>
      <c r="C614" s="37">
        <f>IF(B614="","",IFERROR(INDEX('案件'!$B$6:$B$105,MATCH(B614,'案件'!$A$6:$A$105,0))&amp;"","（案件シートに無い番号）"))</f>
        <v/>
      </c>
      <c r="D614" s="36" t="n"/>
      <c r="E614" s="38" t="n"/>
      <c r="F614" s="39" t="n"/>
      <c r="G614" s="36" t="n"/>
      <c r="H614" s="40" t="n"/>
      <c r="I614" s="40" t="n"/>
      <c r="J614" s="41">
        <f>IF(ISNUMBER(H614),H614,IF(AND(D614="労務費",TRIM(E614)&lt;&gt;""),IFERROR(INDEX('設定'!$G$12:$G$31,MATCH(TRIM(E614),'設定'!$J$12:$J$31,0)),""),""))</f>
        <v/>
      </c>
      <c r="K614" s="30">
        <f>IF(AND(ISNUMBER(F614),ISNUMBER(J614)),ROUND(F614*J614,0),IF(ISNUMBER(I614),I614,""))</f>
        <v/>
      </c>
      <c r="L614" s="33" t="n"/>
      <c r="M614" s="34">
        <f>IF(COUNTA(A614:B614,D614:I614,L614)=0,"",IF(B614="","案件番号がありません",IF(ISNA(MATCH(B614,'案件'!$A$6:$A$105,0)),"案件シートに無い番号です",IF(NOT(OR(D614="材料費",D614="労務費",D614="外注費",D614="経費")),"費目を4つから選んでください",IF(K614="",IF(AND(ISNUMBER(F614),NOT(ISNUMBER(J614))),IF(D614="労務費","単価がありません（設定の作業者名と同じ書き方に）","単価がありません"),IF(AND(ISNUMBER(J614),NOT(ISNUMBER(F614))),"数量がありません","金額がありません")),IF(NOT(ISNUMBER(A614)),"日付がありません（月別集計に入りません）",IF(AND(ISNUMBER(F614),ISNUMBER(J614),ISNUMBER(I614)),"数量×単価を使いました（金額の欄は使っていません）","")))))))</f>
        <v/>
      </c>
      <c r="N614" s="91">
        <f>IF(AND(B614&lt;&gt;"",B614='案件カード'!$C$3),COUNTIF($B$5:B614,'案件カード'!$C$3),"")</f>
        <v/>
      </c>
      <c r="O614" s="91">
        <f>IF(ISNUMBER(K614),IF(B614="",K614,IF(AND(ISNUMBER(MATCH(B614,'案件'!$A$6:$A$105,0)),OR(D614="材料費",D614="労務費",D614="外注費",D614="経費")),0,K614)),0)</f>
        <v/>
      </c>
    </row>
    <row r="615" ht="16" customHeight="1">
      <c r="A615" s="35" t="n"/>
      <c r="B615" s="36" t="n"/>
      <c r="C615" s="37">
        <f>IF(B615="","",IFERROR(INDEX('案件'!$B$6:$B$105,MATCH(B615,'案件'!$A$6:$A$105,0))&amp;"","（案件シートに無い番号）"))</f>
        <v/>
      </c>
      <c r="D615" s="36" t="n"/>
      <c r="E615" s="38" t="n"/>
      <c r="F615" s="39" t="n"/>
      <c r="G615" s="36" t="n"/>
      <c r="H615" s="40" t="n"/>
      <c r="I615" s="40" t="n"/>
      <c r="J615" s="41">
        <f>IF(ISNUMBER(H615),H615,IF(AND(D615="労務費",TRIM(E615)&lt;&gt;""),IFERROR(INDEX('設定'!$G$12:$G$31,MATCH(TRIM(E615),'設定'!$J$12:$J$31,0)),""),""))</f>
        <v/>
      </c>
      <c r="K615" s="30">
        <f>IF(AND(ISNUMBER(F615),ISNUMBER(J615)),ROUND(F615*J615,0),IF(ISNUMBER(I615),I615,""))</f>
        <v/>
      </c>
      <c r="L615" s="33" t="n"/>
      <c r="M615" s="34">
        <f>IF(COUNTA(A615:B615,D615:I615,L615)=0,"",IF(B615="","案件番号がありません",IF(ISNA(MATCH(B615,'案件'!$A$6:$A$105,0)),"案件シートに無い番号です",IF(NOT(OR(D615="材料費",D615="労務費",D615="外注費",D615="経費")),"費目を4つから選んでください",IF(K615="",IF(AND(ISNUMBER(F615),NOT(ISNUMBER(J615))),IF(D615="労務費","単価がありません（設定の作業者名と同じ書き方に）","単価がありません"),IF(AND(ISNUMBER(J615),NOT(ISNUMBER(F615))),"数量がありません","金額がありません")),IF(NOT(ISNUMBER(A615)),"日付がありません（月別集計に入りません）",IF(AND(ISNUMBER(F615),ISNUMBER(J615),ISNUMBER(I615)),"数量×単価を使いました（金額の欄は使っていません）","")))))))</f>
        <v/>
      </c>
      <c r="N615" s="91">
        <f>IF(AND(B615&lt;&gt;"",B615='案件カード'!$C$3),COUNTIF($B$5:B615,'案件カード'!$C$3),"")</f>
        <v/>
      </c>
      <c r="O615" s="91">
        <f>IF(ISNUMBER(K615),IF(B615="",K615,IF(AND(ISNUMBER(MATCH(B615,'案件'!$A$6:$A$105,0)),OR(D615="材料費",D615="労務費",D615="外注費",D615="経費")),0,K615)),0)</f>
        <v/>
      </c>
    </row>
    <row r="616" ht="16" customHeight="1">
      <c r="A616" s="35" t="n"/>
      <c r="B616" s="36" t="n"/>
      <c r="C616" s="37">
        <f>IF(B616="","",IFERROR(INDEX('案件'!$B$6:$B$105,MATCH(B616,'案件'!$A$6:$A$105,0))&amp;"","（案件シートに無い番号）"))</f>
        <v/>
      </c>
      <c r="D616" s="36" t="n"/>
      <c r="E616" s="38" t="n"/>
      <c r="F616" s="39" t="n"/>
      <c r="G616" s="36" t="n"/>
      <c r="H616" s="40" t="n"/>
      <c r="I616" s="40" t="n"/>
      <c r="J616" s="41">
        <f>IF(ISNUMBER(H616),H616,IF(AND(D616="労務費",TRIM(E616)&lt;&gt;""),IFERROR(INDEX('設定'!$G$12:$G$31,MATCH(TRIM(E616),'設定'!$J$12:$J$31,0)),""),""))</f>
        <v/>
      </c>
      <c r="K616" s="30">
        <f>IF(AND(ISNUMBER(F616),ISNUMBER(J616)),ROUND(F616*J616,0),IF(ISNUMBER(I616),I616,""))</f>
        <v/>
      </c>
      <c r="L616" s="33" t="n"/>
      <c r="M616" s="34">
        <f>IF(COUNTA(A616:B616,D616:I616,L616)=0,"",IF(B616="","案件番号がありません",IF(ISNA(MATCH(B616,'案件'!$A$6:$A$105,0)),"案件シートに無い番号です",IF(NOT(OR(D616="材料費",D616="労務費",D616="外注費",D616="経費")),"費目を4つから選んでください",IF(K616="",IF(AND(ISNUMBER(F616),NOT(ISNUMBER(J616))),IF(D616="労務費","単価がありません（設定の作業者名と同じ書き方に）","単価がありません"),IF(AND(ISNUMBER(J616),NOT(ISNUMBER(F616))),"数量がありません","金額がありません")),IF(NOT(ISNUMBER(A616)),"日付がありません（月別集計に入りません）",IF(AND(ISNUMBER(F616),ISNUMBER(J616),ISNUMBER(I616)),"数量×単価を使いました（金額の欄は使っていません）","")))))))</f>
        <v/>
      </c>
      <c r="N616" s="91">
        <f>IF(AND(B616&lt;&gt;"",B616='案件カード'!$C$3),COUNTIF($B$5:B616,'案件カード'!$C$3),"")</f>
        <v/>
      </c>
      <c r="O616" s="91">
        <f>IF(ISNUMBER(K616),IF(B616="",K616,IF(AND(ISNUMBER(MATCH(B616,'案件'!$A$6:$A$105,0)),OR(D616="材料費",D616="労務費",D616="外注費",D616="経費")),0,K616)),0)</f>
        <v/>
      </c>
    </row>
    <row r="617" ht="16" customHeight="1">
      <c r="A617" s="35" t="n"/>
      <c r="B617" s="36" t="n"/>
      <c r="C617" s="37">
        <f>IF(B617="","",IFERROR(INDEX('案件'!$B$6:$B$105,MATCH(B617,'案件'!$A$6:$A$105,0))&amp;"","（案件シートに無い番号）"))</f>
        <v/>
      </c>
      <c r="D617" s="36" t="n"/>
      <c r="E617" s="38" t="n"/>
      <c r="F617" s="39" t="n"/>
      <c r="G617" s="36" t="n"/>
      <c r="H617" s="40" t="n"/>
      <c r="I617" s="40" t="n"/>
      <c r="J617" s="41">
        <f>IF(ISNUMBER(H617),H617,IF(AND(D617="労務費",TRIM(E617)&lt;&gt;""),IFERROR(INDEX('設定'!$G$12:$G$31,MATCH(TRIM(E617),'設定'!$J$12:$J$31,0)),""),""))</f>
        <v/>
      </c>
      <c r="K617" s="30">
        <f>IF(AND(ISNUMBER(F617),ISNUMBER(J617)),ROUND(F617*J617,0),IF(ISNUMBER(I617),I617,""))</f>
        <v/>
      </c>
      <c r="L617" s="33" t="n"/>
      <c r="M617" s="34">
        <f>IF(COUNTA(A617:B617,D617:I617,L617)=0,"",IF(B617="","案件番号がありません",IF(ISNA(MATCH(B617,'案件'!$A$6:$A$105,0)),"案件シートに無い番号です",IF(NOT(OR(D617="材料費",D617="労務費",D617="外注費",D617="経費")),"費目を4つから選んでください",IF(K617="",IF(AND(ISNUMBER(F617),NOT(ISNUMBER(J617))),IF(D617="労務費","単価がありません（設定の作業者名と同じ書き方に）","単価がありません"),IF(AND(ISNUMBER(J617),NOT(ISNUMBER(F617))),"数量がありません","金額がありません")),IF(NOT(ISNUMBER(A617)),"日付がありません（月別集計に入りません）",IF(AND(ISNUMBER(F617),ISNUMBER(J617),ISNUMBER(I617)),"数量×単価を使いました（金額の欄は使っていません）","")))))))</f>
        <v/>
      </c>
      <c r="N617" s="91">
        <f>IF(AND(B617&lt;&gt;"",B617='案件カード'!$C$3),COUNTIF($B$5:B617,'案件カード'!$C$3),"")</f>
        <v/>
      </c>
      <c r="O617" s="91">
        <f>IF(ISNUMBER(K617),IF(B617="",K617,IF(AND(ISNUMBER(MATCH(B617,'案件'!$A$6:$A$105,0)),OR(D617="材料費",D617="労務費",D617="外注費",D617="経費")),0,K617)),0)</f>
        <v/>
      </c>
    </row>
    <row r="618" ht="16" customHeight="1">
      <c r="A618" s="35" t="n"/>
      <c r="B618" s="36" t="n"/>
      <c r="C618" s="37">
        <f>IF(B618="","",IFERROR(INDEX('案件'!$B$6:$B$105,MATCH(B618,'案件'!$A$6:$A$105,0))&amp;"","（案件シートに無い番号）"))</f>
        <v/>
      </c>
      <c r="D618" s="36" t="n"/>
      <c r="E618" s="38" t="n"/>
      <c r="F618" s="39" t="n"/>
      <c r="G618" s="36" t="n"/>
      <c r="H618" s="40" t="n"/>
      <c r="I618" s="40" t="n"/>
      <c r="J618" s="41">
        <f>IF(ISNUMBER(H618),H618,IF(AND(D618="労務費",TRIM(E618)&lt;&gt;""),IFERROR(INDEX('設定'!$G$12:$G$31,MATCH(TRIM(E618),'設定'!$J$12:$J$31,0)),""),""))</f>
        <v/>
      </c>
      <c r="K618" s="30">
        <f>IF(AND(ISNUMBER(F618),ISNUMBER(J618)),ROUND(F618*J618,0),IF(ISNUMBER(I618),I618,""))</f>
        <v/>
      </c>
      <c r="L618" s="33" t="n"/>
      <c r="M618" s="34">
        <f>IF(COUNTA(A618:B618,D618:I618,L618)=0,"",IF(B618="","案件番号がありません",IF(ISNA(MATCH(B618,'案件'!$A$6:$A$105,0)),"案件シートに無い番号です",IF(NOT(OR(D618="材料費",D618="労務費",D618="外注費",D618="経費")),"費目を4つから選んでください",IF(K618="",IF(AND(ISNUMBER(F618),NOT(ISNUMBER(J618))),IF(D618="労務費","単価がありません（設定の作業者名と同じ書き方に）","単価がありません"),IF(AND(ISNUMBER(J618),NOT(ISNUMBER(F618))),"数量がありません","金額がありません")),IF(NOT(ISNUMBER(A618)),"日付がありません（月別集計に入りません）",IF(AND(ISNUMBER(F618),ISNUMBER(J618),ISNUMBER(I618)),"数量×単価を使いました（金額の欄は使っていません）","")))))))</f>
        <v/>
      </c>
      <c r="N618" s="91">
        <f>IF(AND(B618&lt;&gt;"",B618='案件カード'!$C$3),COUNTIF($B$5:B618,'案件カード'!$C$3),"")</f>
        <v/>
      </c>
      <c r="O618" s="91">
        <f>IF(ISNUMBER(K618),IF(B618="",K618,IF(AND(ISNUMBER(MATCH(B618,'案件'!$A$6:$A$105,0)),OR(D618="材料費",D618="労務費",D618="外注費",D618="経費")),0,K618)),0)</f>
        <v/>
      </c>
    </row>
    <row r="619" ht="16" customHeight="1">
      <c r="A619" s="35" t="n"/>
      <c r="B619" s="36" t="n"/>
      <c r="C619" s="37">
        <f>IF(B619="","",IFERROR(INDEX('案件'!$B$6:$B$105,MATCH(B619,'案件'!$A$6:$A$105,0))&amp;"","（案件シートに無い番号）"))</f>
        <v/>
      </c>
      <c r="D619" s="36" t="n"/>
      <c r="E619" s="38" t="n"/>
      <c r="F619" s="39" t="n"/>
      <c r="G619" s="36" t="n"/>
      <c r="H619" s="40" t="n"/>
      <c r="I619" s="40" t="n"/>
      <c r="J619" s="41">
        <f>IF(ISNUMBER(H619),H619,IF(AND(D619="労務費",TRIM(E619)&lt;&gt;""),IFERROR(INDEX('設定'!$G$12:$G$31,MATCH(TRIM(E619),'設定'!$J$12:$J$31,0)),""),""))</f>
        <v/>
      </c>
      <c r="K619" s="30">
        <f>IF(AND(ISNUMBER(F619),ISNUMBER(J619)),ROUND(F619*J619,0),IF(ISNUMBER(I619),I619,""))</f>
        <v/>
      </c>
      <c r="L619" s="33" t="n"/>
      <c r="M619" s="34">
        <f>IF(COUNTA(A619:B619,D619:I619,L619)=0,"",IF(B619="","案件番号がありません",IF(ISNA(MATCH(B619,'案件'!$A$6:$A$105,0)),"案件シートに無い番号です",IF(NOT(OR(D619="材料費",D619="労務費",D619="外注費",D619="経費")),"費目を4つから選んでください",IF(K619="",IF(AND(ISNUMBER(F619),NOT(ISNUMBER(J619))),IF(D619="労務費","単価がありません（設定の作業者名と同じ書き方に）","単価がありません"),IF(AND(ISNUMBER(J619),NOT(ISNUMBER(F619))),"数量がありません","金額がありません")),IF(NOT(ISNUMBER(A619)),"日付がありません（月別集計に入りません）",IF(AND(ISNUMBER(F619),ISNUMBER(J619),ISNUMBER(I619)),"数量×単価を使いました（金額の欄は使っていません）","")))))))</f>
        <v/>
      </c>
      <c r="N619" s="91">
        <f>IF(AND(B619&lt;&gt;"",B619='案件カード'!$C$3),COUNTIF($B$5:B619,'案件カード'!$C$3),"")</f>
        <v/>
      </c>
      <c r="O619" s="91">
        <f>IF(ISNUMBER(K619),IF(B619="",K619,IF(AND(ISNUMBER(MATCH(B619,'案件'!$A$6:$A$105,0)),OR(D619="材料費",D619="労務費",D619="外注費",D619="経費")),0,K619)),0)</f>
        <v/>
      </c>
    </row>
    <row r="620" ht="16" customHeight="1">
      <c r="A620" s="35" t="n"/>
      <c r="B620" s="36" t="n"/>
      <c r="C620" s="37">
        <f>IF(B620="","",IFERROR(INDEX('案件'!$B$6:$B$105,MATCH(B620,'案件'!$A$6:$A$105,0))&amp;"","（案件シートに無い番号）"))</f>
        <v/>
      </c>
      <c r="D620" s="36" t="n"/>
      <c r="E620" s="38" t="n"/>
      <c r="F620" s="39" t="n"/>
      <c r="G620" s="36" t="n"/>
      <c r="H620" s="40" t="n"/>
      <c r="I620" s="40" t="n"/>
      <c r="J620" s="41">
        <f>IF(ISNUMBER(H620),H620,IF(AND(D620="労務費",TRIM(E620)&lt;&gt;""),IFERROR(INDEX('設定'!$G$12:$G$31,MATCH(TRIM(E620),'設定'!$J$12:$J$31,0)),""),""))</f>
        <v/>
      </c>
      <c r="K620" s="30">
        <f>IF(AND(ISNUMBER(F620),ISNUMBER(J620)),ROUND(F620*J620,0),IF(ISNUMBER(I620),I620,""))</f>
        <v/>
      </c>
      <c r="L620" s="33" t="n"/>
      <c r="M620" s="34">
        <f>IF(COUNTA(A620:B620,D620:I620,L620)=0,"",IF(B620="","案件番号がありません",IF(ISNA(MATCH(B620,'案件'!$A$6:$A$105,0)),"案件シートに無い番号です",IF(NOT(OR(D620="材料費",D620="労務費",D620="外注費",D620="経費")),"費目を4つから選んでください",IF(K620="",IF(AND(ISNUMBER(F620),NOT(ISNUMBER(J620))),IF(D620="労務費","単価がありません（設定の作業者名と同じ書き方に）","単価がありません"),IF(AND(ISNUMBER(J620),NOT(ISNUMBER(F620))),"数量がありません","金額がありません")),IF(NOT(ISNUMBER(A620)),"日付がありません（月別集計に入りません）",IF(AND(ISNUMBER(F620),ISNUMBER(J620),ISNUMBER(I620)),"数量×単価を使いました（金額の欄は使っていません）","")))))))</f>
        <v/>
      </c>
      <c r="N620" s="91">
        <f>IF(AND(B620&lt;&gt;"",B620='案件カード'!$C$3),COUNTIF($B$5:B620,'案件カード'!$C$3),"")</f>
        <v/>
      </c>
      <c r="O620" s="91">
        <f>IF(ISNUMBER(K620),IF(B620="",K620,IF(AND(ISNUMBER(MATCH(B620,'案件'!$A$6:$A$105,0)),OR(D620="材料費",D620="労務費",D620="外注費",D620="経費")),0,K620)),0)</f>
        <v/>
      </c>
    </row>
    <row r="621" ht="16" customHeight="1">
      <c r="A621" s="35" t="n"/>
      <c r="B621" s="36" t="n"/>
      <c r="C621" s="37">
        <f>IF(B621="","",IFERROR(INDEX('案件'!$B$6:$B$105,MATCH(B621,'案件'!$A$6:$A$105,0))&amp;"","（案件シートに無い番号）"))</f>
        <v/>
      </c>
      <c r="D621" s="36" t="n"/>
      <c r="E621" s="38" t="n"/>
      <c r="F621" s="39" t="n"/>
      <c r="G621" s="36" t="n"/>
      <c r="H621" s="40" t="n"/>
      <c r="I621" s="40" t="n"/>
      <c r="J621" s="41">
        <f>IF(ISNUMBER(H621),H621,IF(AND(D621="労務費",TRIM(E621)&lt;&gt;""),IFERROR(INDEX('設定'!$G$12:$G$31,MATCH(TRIM(E621),'設定'!$J$12:$J$31,0)),""),""))</f>
        <v/>
      </c>
      <c r="K621" s="30">
        <f>IF(AND(ISNUMBER(F621),ISNUMBER(J621)),ROUND(F621*J621,0),IF(ISNUMBER(I621),I621,""))</f>
        <v/>
      </c>
      <c r="L621" s="33" t="n"/>
      <c r="M621" s="34">
        <f>IF(COUNTA(A621:B621,D621:I621,L621)=0,"",IF(B621="","案件番号がありません",IF(ISNA(MATCH(B621,'案件'!$A$6:$A$105,0)),"案件シートに無い番号です",IF(NOT(OR(D621="材料費",D621="労務費",D621="外注費",D621="経費")),"費目を4つから選んでください",IF(K621="",IF(AND(ISNUMBER(F621),NOT(ISNUMBER(J621))),IF(D621="労務費","単価がありません（設定の作業者名と同じ書き方に）","単価がありません"),IF(AND(ISNUMBER(J621),NOT(ISNUMBER(F621))),"数量がありません","金額がありません")),IF(NOT(ISNUMBER(A621)),"日付がありません（月別集計に入りません）",IF(AND(ISNUMBER(F621),ISNUMBER(J621),ISNUMBER(I621)),"数量×単価を使いました（金額の欄は使っていません）","")))))))</f>
        <v/>
      </c>
      <c r="N621" s="91">
        <f>IF(AND(B621&lt;&gt;"",B621='案件カード'!$C$3),COUNTIF($B$5:B621,'案件カード'!$C$3),"")</f>
        <v/>
      </c>
      <c r="O621" s="91">
        <f>IF(ISNUMBER(K621),IF(B621="",K621,IF(AND(ISNUMBER(MATCH(B621,'案件'!$A$6:$A$105,0)),OR(D621="材料費",D621="労務費",D621="外注費",D621="経費")),0,K621)),0)</f>
        <v/>
      </c>
    </row>
    <row r="622" ht="16" customHeight="1">
      <c r="A622" s="35" t="n"/>
      <c r="B622" s="36" t="n"/>
      <c r="C622" s="37">
        <f>IF(B622="","",IFERROR(INDEX('案件'!$B$6:$B$105,MATCH(B622,'案件'!$A$6:$A$105,0))&amp;"","（案件シートに無い番号）"))</f>
        <v/>
      </c>
      <c r="D622" s="36" t="n"/>
      <c r="E622" s="38" t="n"/>
      <c r="F622" s="39" t="n"/>
      <c r="G622" s="36" t="n"/>
      <c r="H622" s="40" t="n"/>
      <c r="I622" s="40" t="n"/>
      <c r="J622" s="41">
        <f>IF(ISNUMBER(H622),H622,IF(AND(D622="労務費",TRIM(E622)&lt;&gt;""),IFERROR(INDEX('設定'!$G$12:$G$31,MATCH(TRIM(E622),'設定'!$J$12:$J$31,0)),""),""))</f>
        <v/>
      </c>
      <c r="K622" s="30">
        <f>IF(AND(ISNUMBER(F622),ISNUMBER(J622)),ROUND(F622*J622,0),IF(ISNUMBER(I622),I622,""))</f>
        <v/>
      </c>
      <c r="L622" s="33" t="n"/>
      <c r="M622" s="34">
        <f>IF(COUNTA(A622:B622,D622:I622,L622)=0,"",IF(B622="","案件番号がありません",IF(ISNA(MATCH(B622,'案件'!$A$6:$A$105,0)),"案件シートに無い番号です",IF(NOT(OR(D622="材料費",D622="労務費",D622="外注費",D622="経費")),"費目を4つから選んでください",IF(K622="",IF(AND(ISNUMBER(F622),NOT(ISNUMBER(J622))),IF(D622="労務費","単価がありません（設定の作業者名と同じ書き方に）","単価がありません"),IF(AND(ISNUMBER(J622),NOT(ISNUMBER(F622))),"数量がありません","金額がありません")),IF(NOT(ISNUMBER(A622)),"日付がありません（月別集計に入りません）",IF(AND(ISNUMBER(F622),ISNUMBER(J622),ISNUMBER(I622)),"数量×単価を使いました（金額の欄は使っていません）","")))))))</f>
        <v/>
      </c>
      <c r="N622" s="91">
        <f>IF(AND(B622&lt;&gt;"",B622='案件カード'!$C$3),COUNTIF($B$5:B622,'案件カード'!$C$3),"")</f>
        <v/>
      </c>
      <c r="O622" s="91">
        <f>IF(ISNUMBER(K622),IF(B622="",K622,IF(AND(ISNUMBER(MATCH(B622,'案件'!$A$6:$A$105,0)),OR(D622="材料費",D622="労務費",D622="外注費",D622="経費")),0,K622)),0)</f>
        <v/>
      </c>
    </row>
    <row r="623" ht="16" customHeight="1">
      <c r="A623" s="35" t="n"/>
      <c r="B623" s="36" t="n"/>
      <c r="C623" s="37">
        <f>IF(B623="","",IFERROR(INDEX('案件'!$B$6:$B$105,MATCH(B623,'案件'!$A$6:$A$105,0))&amp;"","（案件シートに無い番号）"))</f>
        <v/>
      </c>
      <c r="D623" s="36" t="n"/>
      <c r="E623" s="38" t="n"/>
      <c r="F623" s="39" t="n"/>
      <c r="G623" s="36" t="n"/>
      <c r="H623" s="40" t="n"/>
      <c r="I623" s="40" t="n"/>
      <c r="J623" s="41">
        <f>IF(ISNUMBER(H623),H623,IF(AND(D623="労務費",TRIM(E623)&lt;&gt;""),IFERROR(INDEX('設定'!$G$12:$G$31,MATCH(TRIM(E623),'設定'!$J$12:$J$31,0)),""),""))</f>
        <v/>
      </c>
      <c r="K623" s="30">
        <f>IF(AND(ISNUMBER(F623),ISNUMBER(J623)),ROUND(F623*J623,0),IF(ISNUMBER(I623),I623,""))</f>
        <v/>
      </c>
      <c r="L623" s="33" t="n"/>
      <c r="M623" s="34">
        <f>IF(COUNTA(A623:B623,D623:I623,L623)=0,"",IF(B623="","案件番号がありません",IF(ISNA(MATCH(B623,'案件'!$A$6:$A$105,0)),"案件シートに無い番号です",IF(NOT(OR(D623="材料費",D623="労務費",D623="外注費",D623="経費")),"費目を4つから選んでください",IF(K623="",IF(AND(ISNUMBER(F623),NOT(ISNUMBER(J623))),IF(D623="労務費","単価がありません（設定の作業者名と同じ書き方に）","単価がありません"),IF(AND(ISNUMBER(J623),NOT(ISNUMBER(F623))),"数量がありません","金額がありません")),IF(NOT(ISNUMBER(A623)),"日付がありません（月別集計に入りません）",IF(AND(ISNUMBER(F623),ISNUMBER(J623),ISNUMBER(I623)),"数量×単価を使いました（金額の欄は使っていません）","")))))))</f>
        <v/>
      </c>
      <c r="N623" s="91">
        <f>IF(AND(B623&lt;&gt;"",B623='案件カード'!$C$3),COUNTIF($B$5:B623,'案件カード'!$C$3),"")</f>
        <v/>
      </c>
      <c r="O623" s="91">
        <f>IF(ISNUMBER(K623),IF(B623="",K623,IF(AND(ISNUMBER(MATCH(B623,'案件'!$A$6:$A$105,0)),OR(D623="材料費",D623="労務費",D623="外注費",D623="経費")),0,K623)),0)</f>
        <v/>
      </c>
    </row>
    <row r="624" ht="16" customHeight="1">
      <c r="A624" s="35" t="n"/>
      <c r="B624" s="36" t="n"/>
      <c r="C624" s="37">
        <f>IF(B624="","",IFERROR(INDEX('案件'!$B$6:$B$105,MATCH(B624,'案件'!$A$6:$A$105,0))&amp;"","（案件シートに無い番号）"))</f>
        <v/>
      </c>
      <c r="D624" s="36" t="n"/>
      <c r="E624" s="38" t="n"/>
      <c r="F624" s="39" t="n"/>
      <c r="G624" s="36" t="n"/>
      <c r="H624" s="40" t="n"/>
      <c r="I624" s="40" t="n"/>
      <c r="J624" s="41">
        <f>IF(ISNUMBER(H624),H624,IF(AND(D624="労務費",TRIM(E624)&lt;&gt;""),IFERROR(INDEX('設定'!$G$12:$G$31,MATCH(TRIM(E624),'設定'!$J$12:$J$31,0)),""),""))</f>
        <v/>
      </c>
      <c r="K624" s="30">
        <f>IF(AND(ISNUMBER(F624),ISNUMBER(J624)),ROUND(F624*J624,0),IF(ISNUMBER(I624),I624,""))</f>
        <v/>
      </c>
      <c r="L624" s="33" t="n"/>
      <c r="M624" s="34">
        <f>IF(COUNTA(A624:B624,D624:I624,L624)=0,"",IF(B624="","案件番号がありません",IF(ISNA(MATCH(B624,'案件'!$A$6:$A$105,0)),"案件シートに無い番号です",IF(NOT(OR(D624="材料費",D624="労務費",D624="外注費",D624="経費")),"費目を4つから選んでください",IF(K624="",IF(AND(ISNUMBER(F624),NOT(ISNUMBER(J624))),IF(D624="労務費","単価がありません（設定の作業者名と同じ書き方に）","単価がありません"),IF(AND(ISNUMBER(J624),NOT(ISNUMBER(F624))),"数量がありません","金額がありません")),IF(NOT(ISNUMBER(A624)),"日付がありません（月別集計に入りません）",IF(AND(ISNUMBER(F624),ISNUMBER(J624),ISNUMBER(I624)),"数量×単価を使いました（金額の欄は使っていません）","")))))))</f>
        <v/>
      </c>
      <c r="N624" s="91">
        <f>IF(AND(B624&lt;&gt;"",B624='案件カード'!$C$3),COUNTIF($B$5:B624,'案件カード'!$C$3),"")</f>
        <v/>
      </c>
      <c r="O624" s="91">
        <f>IF(ISNUMBER(K624),IF(B624="",K624,IF(AND(ISNUMBER(MATCH(B624,'案件'!$A$6:$A$105,0)),OR(D624="材料費",D624="労務費",D624="外注費",D624="経費")),0,K624)),0)</f>
        <v/>
      </c>
    </row>
    <row r="625" ht="16" customHeight="1">
      <c r="A625" s="35" t="n"/>
      <c r="B625" s="36" t="n"/>
      <c r="C625" s="37">
        <f>IF(B625="","",IFERROR(INDEX('案件'!$B$6:$B$105,MATCH(B625,'案件'!$A$6:$A$105,0))&amp;"","（案件シートに無い番号）"))</f>
        <v/>
      </c>
      <c r="D625" s="36" t="n"/>
      <c r="E625" s="38" t="n"/>
      <c r="F625" s="39" t="n"/>
      <c r="G625" s="36" t="n"/>
      <c r="H625" s="40" t="n"/>
      <c r="I625" s="40" t="n"/>
      <c r="J625" s="41">
        <f>IF(ISNUMBER(H625),H625,IF(AND(D625="労務費",TRIM(E625)&lt;&gt;""),IFERROR(INDEX('設定'!$G$12:$G$31,MATCH(TRIM(E625),'設定'!$J$12:$J$31,0)),""),""))</f>
        <v/>
      </c>
      <c r="K625" s="30">
        <f>IF(AND(ISNUMBER(F625),ISNUMBER(J625)),ROUND(F625*J625,0),IF(ISNUMBER(I625),I625,""))</f>
        <v/>
      </c>
      <c r="L625" s="33" t="n"/>
      <c r="M625" s="34">
        <f>IF(COUNTA(A625:B625,D625:I625,L625)=0,"",IF(B625="","案件番号がありません",IF(ISNA(MATCH(B625,'案件'!$A$6:$A$105,0)),"案件シートに無い番号です",IF(NOT(OR(D625="材料費",D625="労務費",D625="外注費",D625="経費")),"費目を4つから選んでください",IF(K625="",IF(AND(ISNUMBER(F625),NOT(ISNUMBER(J625))),IF(D625="労務費","単価がありません（設定の作業者名と同じ書き方に）","単価がありません"),IF(AND(ISNUMBER(J625),NOT(ISNUMBER(F625))),"数量がありません","金額がありません")),IF(NOT(ISNUMBER(A625)),"日付がありません（月別集計に入りません）",IF(AND(ISNUMBER(F625),ISNUMBER(J625),ISNUMBER(I625)),"数量×単価を使いました（金額の欄は使っていません）","")))))))</f>
        <v/>
      </c>
      <c r="N625" s="91">
        <f>IF(AND(B625&lt;&gt;"",B625='案件カード'!$C$3),COUNTIF($B$5:B625,'案件カード'!$C$3),"")</f>
        <v/>
      </c>
      <c r="O625" s="91">
        <f>IF(ISNUMBER(K625),IF(B625="",K625,IF(AND(ISNUMBER(MATCH(B625,'案件'!$A$6:$A$105,0)),OR(D625="材料費",D625="労務費",D625="外注費",D625="経費")),0,K625)),0)</f>
        <v/>
      </c>
    </row>
    <row r="626" ht="16" customHeight="1">
      <c r="A626" s="35" t="n"/>
      <c r="B626" s="36" t="n"/>
      <c r="C626" s="37">
        <f>IF(B626="","",IFERROR(INDEX('案件'!$B$6:$B$105,MATCH(B626,'案件'!$A$6:$A$105,0))&amp;"","（案件シートに無い番号）"))</f>
        <v/>
      </c>
      <c r="D626" s="36" t="n"/>
      <c r="E626" s="38" t="n"/>
      <c r="F626" s="39" t="n"/>
      <c r="G626" s="36" t="n"/>
      <c r="H626" s="40" t="n"/>
      <c r="I626" s="40" t="n"/>
      <c r="J626" s="41">
        <f>IF(ISNUMBER(H626),H626,IF(AND(D626="労務費",TRIM(E626)&lt;&gt;""),IFERROR(INDEX('設定'!$G$12:$G$31,MATCH(TRIM(E626),'設定'!$J$12:$J$31,0)),""),""))</f>
        <v/>
      </c>
      <c r="K626" s="30">
        <f>IF(AND(ISNUMBER(F626),ISNUMBER(J626)),ROUND(F626*J626,0),IF(ISNUMBER(I626),I626,""))</f>
        <v/>
      </c>
      <c r="L626" s="33" t="n"/>
      <c r="M626" s="34">
        <f>IF(COUNTA(A626:B626,D626:I626,L626)=0,"",IF(B626="","案件番号がありません",IF(ISNA(MATCH(B626,'案件'!$A$6:$A$105,0)),"案件シートに無い番号です",IF(NOT(OR(D626="材料費",D626="労務費",D626="外注費",D626="経費")),"費目を4つから選んでください",IF(K626="",IF(AND(ISNUMBER(F626),NOT(ISNUMBER(J626))),IF(D626="労務費","単価がありません（設定の作業者名と同じ書き方に）","単価がありません"),IF(AND(ISNUMBER(J626),NOT(ISNUMBER(F626))),"数量がありません","金額がありません")),IF(NOT(ISNUMBER(A626)),"日付がありません（月別集計に入りません）",IF(AND(ISNUMBER(F626),ISNUMBER(J626),ISNUMBER(I626)),"数量×単価を使いました（金額の欄は使っていません）","")))))))</f>
        <v/>
      </c>
      <c r="N626" s="91">
        <f>IF(AND(B626&lt;&gt;"",B626='案件カード'!$C$3),COUNTIF($B$5:B626,'案件カード'!$C$3),"")</f>
        <v/>
      </c>
      <c r="O626" s="91">
        <f>IF(ISNUMBER(K626),IF(B626="",K626,IF(AND(ISNUMBER(MATCH(B626,'案件'!$A$6:$A$105,0)),OR(D626="材料費",D626="労務費",D626="外注費",D626="経費")),0,K626)),0)</f>
        <v/>
      </c>
    </row>
    <row r="627" ht="16" customHeight="1">
      <c r="A627" s="35" t="n"/>
      <c r="B627" s="36" t="n"/>
      <c r="C627" s="37">
        <f>IF(B627="","",IFERROR(INDEX('案件'!$B$6:$B$105,MATCH(B627,'案件'!$A$6:$A$105,0))&amp;"","（案件シートに無い番号）"))</f>
        <v/>
      </c>
      <c r="D627" s="36" t="n"/>
      <c r="E627" s="38" t="n"/>
      <c r="F627" s="39" t="n"/>
      <c r="G627" s="36" t="n"/>
      <c r="H627" s="40" t="n"/>
      <c r="I627" s="40" t="n"/>
      <c r="J627" s="41">
        <f>IF(ISNUMBER(H627),H627,IF(AND(D627="労務費",TRIM(E627)&lt;&gt;""),IFERROR(INDEX('設定'!$G$12:$G$31,MATCH(TRIM(E627),'設定'!$J$12:$J$31,0)),""),""))</f>
        <v/>
      </c>
      <c r="K627" s="30">
        <f>IF(AND(ISNUMBER(F627),ISNUMBER(J627)),ROUND(F627*J627,0),IF(ISNUMBER(I627),I627,""))</f>
        <v/>
      </c>
      <c r="L627" s="33" t="n"/>
      <c r="M627" s="34">
        <f>IF(COUNTA(A627:B627,D627:I627,L627)=0,"",IF(B627="","案件番号がありません",IF(ISNA(MATCH(B627,'案件'!$A$6:$A$105,0)),"案件シートに無い番号です",IF(NOT(OR(D627="材料費",D627="労務費",D627="外注費",D627="経費")),"費目を4つから選んでください",IF(K627="",IF(AND(ISNUMBER(F627),NOT(ISNUMBER(J627))),IF(D627="労務費","単価がありません（設定の作業者名と同じ書き方に）","単価がありません"),IF(AND(ISNUMBER(J627),NOT(ISNUMBER(F627))),"数量がありません","金額がありません")),IF(NOT(ISNUMBER(A627)),"日付がありません（月別集計に入りません）",IF(AND(ISNUMBER(F627),ISNUMBER(J627),ISNUMBER(I627)),"数量×単価を使いました（金額の欄は使っていません）","")))))))</f>
        <v/>
      </c>
      <c r="N627" s="91">
        <f>IF(AND(B627&lt;&gt;"",B627='案件カード'!$C$3),COUNTIF($B$5:B627,'案件カード'!$C$3),"")</f>
        <v/>
      </c>
      <c r="O627" s="91">
        <f>IF(ISNUMBER(K627),IF(B627="",K627,IF(AND(ISNUMBER(MATCH(B627,'案件'!$A$6:$A$105,0)),OR(D627="材料費",D627="労務費",D627="外注費",D627="経費")),0,K627)),0)</f>
        <v/>
      </c>
    </row>
    <row r="628" ht="16" customHeight="1">
      <c r="A628" s="35" t="n"/>
      <c r="B628" s="36" t="n"/>
      <c r="C628" s="37">
        <f>IF(B628="","",IFERROR(INDEX('案件'!$B$6:$B$105,MATCH(B628,'案件'!$A$6:$A$105,0))&amp;"","（案件シートに無い番号）"))</f>
        <v/>
      </c>
      <c r="D628" s="36" t="n"/>
      <c r="E628" s="38" t="n"/>
      <c r="F628" s="39" t="n"/>
      <c r="G628" s="36" t="n"/>
      <c r="H628" s="40" t="n"/>
      <c r="I628" s="40" t="n"/>
      <c r="J628" s="41">
        <f>IF(ISNUMBER(H628),H628,IF(AND(D628="労務費",TRIM(E628)&lt;&gt;""),IFERROR(INDEX('設定'!$G$12:$G$31,MATCH(TRIM(E628),'設定'!$J$12:$J$31,0)),""),""))</f>
        <v/>
      </c>
      <c r="K628" s="30">
        <f>IF(AND(ISNUMBER(F628),ISNUMBER(J628)),ROUND(F628*J628,0),IF(ISNUMBER(I628),I628,""))</f>
        <v/>
      </c>
      <c r="L628" s="33" t="n"/>
      <c r="M628" s="34">
        <f>IF(COUNTA(A628:B628,D628:I628,L628)=0,"",IF(B628="","案件番号がありません",IF(ISNA(MATCH(B628,'案件'!$A$6:$A$105,0)),"案件シートに無い番号です",IF(NOT(OR(D628="材料費",D628="労務費",D628="外注費",D628="経費")),"費目を4つから選んでください",IF(K628="",IF(AND(ISNUMBER(F628),NOT(ISNUMBER(J628))),IF(D628="労務費","単価がありません（設定の作業者名と同じ書き方に）","単価がありません"),IF(AND(ISNUMBER(J628),NOT(ISNUMBER(F628))),"数量がありません","金額がありません")),IF(NOT(ISNUMBER(A628)),"日付がありません（月別集計に入りません）",IF(AND(ISNUMBER(F628),ISNUMBER(J628),ISNUMBER(I628)),"数量×単価を使いました（金額の欄は使っていません）","")))))))</f>
        <v/>
      </c>
      <c r="N628" s="91">
        <f>IF(AND(B628&lt;&gt;"",B628='案件カード'!$C$3),COUNTIF($B$5:B628,'案件カード'!$C$3),"")</f>
        <v/>
      </c>
      <c r="O628" s="91">
        <f>IF(ISNUMBER(K628),IF(B628="",K628,IF(AND(ISNUMBER(MATCH(B628,'案件'!$A$6:$A$105,0)),OR(D628="材料費",D628="労務費",D628="外注費",D628="経費")),0,K628)),0)</f>
        <v/>
      </c>
    </row>
    <row r="629" ht="16" customHeight="1">
      <c r="A629" s="35" t="n"/>
      <c r="B629" s="36" t="n"/>
      <c r="C629" s="37">
        <f>IF(B629="","",IFERROR(INDEX('案件'!$B$6:$B$105,MATCH(B629,'案件'!$A$6:$A$105,0))&amp;"","（案件シートに無い番号）"))</f>
        <v/>
      </c>
      <c r="D629" s="36" t="n"/>
      <c r="E629" s="38" t="n"/>
      <c r="F629" s="39" t="n"/>
      <c r="G629" s="36" t="n"/>
      <c r="H629" s="40" t="n"/>
      <c r="I629" s="40" t="n"/>
      <c r="J629" s="41">
        <f>IF(ISNUMBER(H629),H629,IF(AND(D629="労務費",TRIM(E629)&lt;&gt;""),IFERROR(INDEX('設定'!$G$12:$G$31,MATCH(TRIM(E629),'設定'!$J$12:$J$31,0)),""),""))</f>
        <v/>
      </c>
      <c r="K629" s="30">
        <f>IF(AND(ISNUMBER(F629),ISNUMBER(J629)),ROUND(F629*J629,0),IF(ISNUMBER(I629),I629,""))</f>
        <v/>
      </c>
      <c r="L629" s="33" t="n"/>
      <c r="M629" s="34">
        <f>IF(COUNTA(A629:B629,D629:I629,L629)=0,"",IF(B629="","案件番号がありません",IF(ISNA(MATCH(B629,'案件'!$A$6:$A$105,0)),"案件シートに無い番号です",IF(NOT(OR(D629="材料費",D629="労務費",D629="外注費",D629="経費")),"費目を4つから選んでください",IF(K629="",IF(AND(ISNUMBER(F629),NOT(ISNUMBER(J629))),IF(D629="労務費","単価がありません（設定の作業者名と同じ書き方に）","単価がありません"),IF(AND(ISNUMBER(J629),NOT(ISNUMBER(F629))),"数量がありません","金額がありません")),IF(NOT(ISNUMBER(A629)),"日付がありません（月別集計に入りません）",IF(AND(ISNUMBER(F629),ISNUMBER(J629),ISNUMBER(I629)),"数量×単価を使いました（金額の欄は使っていません）","")))))))</f>
        <v/>
      </c>
      <c r="N629" s="91">
        <f>IF(AND(B629&lt;&gt;"",B629='案件カード'!$C$3),COUNTIF($B$5:B629,'案件カード'!$C$3),"")</f>
        <v/>
      </c>
      <c r="O629" s="91">
        <f>IF(ISNUMBER(K629),IF(B629="",K629,IF(AND(ISNUMBER(MATCH(B629,'案件'!$A$6:$A$105,0)),OR(D629="材料費",D629="労務費",D629="外注費",D629="経費")),0,K629)),0)</f>
        <v/>
      </c>
    </row>
    <row r="630" ht="16" customHeight="1">
      <c r="A630" s="35" t="n"/>
      <c r="B630" s="36" t="n"/>
      <c r="C630" s="37">
        <f>IF(B630="","",IFERROR(INDEX('案件'!$B$6:$B$105,MATCH(B630,'案件'!$A$6:$A$105,0))&amp;"","（案件シートに無い番号）"))</f>
        <v/>
      </c>
      <c r="D630" s="36" t="n"/>
      <c r="E630" s="38" t="n"/>
      <c r="F630" s="39" t="n"/>
      <c r="G630" s="36" t="n"/>
      <c r="H630" s="40" t="n"/>
      <c r="I630" s="40" t="n"/>
      <c r="J630" s="41">
        <f>IF(ISNUMBER(H630),H630,IF(AND(D630="労務費",TRIM(E630)&lt;&gt;""),IFERROR(INDEX('設定'!$G$12:$G$31,MATCH(TRIM(E630),'設定'!$J$12:$J$31,0)),""),""))</f>
        <v/>
      </c>
      <c r="K630" s="30">
        <f>IF(AND(ISNUMBER(F630),ISNUMBER(J630)),ROUND(F630*J630,0),IF(ISNUMBER(I630),I630,""))</f>
        <v/>
      </c>
      <c r="L630" s="33" t="n"/>
      <c r="M630" s="34">
        <f>IF(COUNTA(A630:B630,D630:I630,L630)=0,"",IF(B630="","案件番号がありません",IF(ISNA(MATCH(B630,'案件'!$A$6:$A$105,0)),"案件シートに無い番号です",IF(NOT(OR(D630="材料費",D630="労務費",D630="外注費",D630="経費")),"費目を4つから選んでください",IF(K630="",IF(AND(ISNUMBER(F630),NOT(ISNUMBER(J630))),IF(D630="労務費","単価がありません（設定の作業者名と同じ書き方に）","単価がありません"),IF(AND(ISNUMBER(J630),NOT(ISNUMBER(F630))),"数量がありません","金額がありません")),IF(NOT(ISNUMBER(A630)),"日付がありません（月別集計に入りません）",IF(AND(ISNUMBER(F630),ISNUMBER(J630),ISNUMBER(I630)),"数量×単価を使いました（金額の欄は使っていません）","")))))))</f>
        <v/>
      </c>
      <c r="N630" s="91">
        <f>IF(AND(B630&lt;&gt;"",B630='案件カード'!$C$3),COUNTIF($B$5:B630,'案件カード'!$C$3),"")</f>
        <v/>
      </c>
      <c r="O630" s="91">
        <f>IF(ISNUMBER(K630),IF(B630="",K630,IF(AND(ISNUMBER(MATCH(B630,'案件'!$A$6:$A$105,0)),OR(D630="材料費",D630="労務費",D630="外注費",D630="経費")),0,K630)),0)</f>
        <v/>
      </c>
    </row>
    <row r="631" ht="16" customHeight="1">
      <c r="A631" s="35" t="n"/>
      <c r="B631" s="36" t="n"/>
      <c r="C631" s="37">
        <f>IF(B631="","",IFERROR(INDEX('案件'!$B$6:$B$105,MATCH(B631,'案件'!$A$6:$A$105,0))&amp;"","（案件シートに無い番号）"))</f>
        <v/>
      </c>
      <c r="D631" s="36" t="n"/>
      <c r="E631" s="38" t="n"/>
      <c r="F631" s="39" t="n"/>
      <c r="G631" s="36" t="n"/>
      <c r="H631" s="40" t="n"/>
      <c r="I631" s="40" t="n"/>
      <c r="J631" s="41">
        <f>IF(ISNUMBER(H631),H631,IF(AND(D631="労務費",TRIM(E631)&lt;&gt;""),IFERROR(INDEX('設定'!$G$12:$G$31,MATCH(TRIM(E631),'設定'!$J$12:$J$31,0)),""),""))</f>
        <v/>
      </c>
      <c r="K631" s="30">
        <f>IF(AND(ISNUMBER(F631),ISNUMBER(J631)),ROUND(F631*J631,0),IF(ISNUMBER(I631),I631,""))</f>
        <v/>
      </c>
      <c r="L631" s="33" t="n"/>
      <c r="M631" s="34">
        <f>IF(COUNTA(A631:B631,D631:I631,L631)=0,"",IF(B631="","案件番号がありません",IF(ISNA(MATCH(B631,'案件'!$A$6:$A$105,0)),"案件シートに無い番号です",IF(NOT(OR(D631="材料費",D631="労務費",D631="外注費",D631="経費")),"費目を4つから選んでください",IF(K631="",IF(AND(ISNUMBER(F631),NOT(ISNUMBER(J631))),IF(D631="労務費","単価がありません（設定の作業者名と同じ書き方に）","単価がありません"),IF(AND(ISNUMBER(J631),NOT(ISNUMBER(F631))),"数量がありません","金額がありません")),IF(NOT(ISNUMBER(A631)),"日付がありません（月別集計に入りません）",IF(AND(ISNUMBER(F631),ISNUMBER(J631),ISNUMBER(I631)),"数量×単価を使いました（金額の欄は使っていません）","")))))))</f>
        <v/>
      </c>
      <c r="N631" s="91">
        <f>IF(AND(B631&lt;&gt;"",B631='案件カード'!$C$3),COUNTIF($B$5:B631,'案件カード'!$C$3),"")</f>
        <v/>
      </c>
      <c r="O631" s="91">
        <f>IF(ISNUMBER(K631),IF(B631="",K631,IF(AND(ISNUMBER(MATCH(B631,'案件'!$A$6:$A$105,0)),OR(D631="材料費",D631="労務費",D631="外注費",D631="経費")),0,K631)),0)</f>
        <v/>
      </c>
    </row>
    <row r="632" ht="16" customHeight="1">
      <c r="A632" s="35" t="n"/>
      <c r="B632" s="36" t="n"/>
      <c r="C632" s="37">
        <f>IF(B632="","",IFERROR(INDEX('案件'!$B$6:$B$105,MATCH(B632,'案件'!$A$6:$A$105,0))&amp;"","（案件シートに無い番号）"))</f>
        <v/>
      </c>
      <c r="D632" s="36" t="n"/>
      <c r="E632" s="38" t="n"/>
      <c r="F632" s="39" t="n"/>
      <c r="G632" s="36" t="n"/>
      <c r="H632" s="40" t="n"/>
      <c r="I632" s="40" t="n"/>
      <c r="J632" s="41">
        <f>IF(ISNUMBER(H632),H632,IF(AND(D632="労務費",TRIM(E632)&lt;&gt;""),IFERROR(INDEX('設定'!$G$12:$G$31,MATCH(TRIM(E632),'設定'!$J$12:$J$31,0)),""),""))</f>
        <v/>
      </c>
      <c r="K632" s="30">
        <f>IF(AND(ISNUMBER(F632),ISNUMBER(J632)),ROUND(F632*J632,0),IF(ISNUMBER(I632),I632,""))</f>
        <v/>
      </c>
      <c r="L632" s="33" t="n"/>
      <c r="M632" s="34">
        <f>IF(COUNTA(A632:B632,D632:I632,L632)=0,"",IF(B632="","案件番号がありません",IF(ISNA(MATCH(B632,'案件'!$A$6:$A$105,0)),"案件シートに無い番号です",IF(NOT(OR(D632="材料費",D632="労務費",D632="外注費",D632="経費")),"費目を4つから選んでください",IF(K632="",IF(AND(ISNUMBER(F632),NOT(ISNUMBER(J632))),IF(D632="労務費","単価がありません（設定の作業者名と同じ書き方に）","単価がありません"),IF(AND(ISNUMBER(J632),NOT(ISNUMBER(F632))),"数量がありません","金額がありません")),IF(NOT(ISNUMBER(A632)),"日付がありません（月別集計に入りません）",IF(AND(ISNUMBER(F632),ISNUMBER(J632),ISNUMBER(I632)),"数量×単価を使いました（金額の欄は使っていません）","")))))))</f>
        <v/>
      </c>
      <c r="N632" s="91">
        <f>IF(AND(B632&lt;&gt;"",B632='案件カード'!$C$3),COUNTIF($B$5:B632,'案件カード'!$C$3),"")</f>
        <v/>
      </c>
      <c r="O632" s="91">
        <f>IF(ISNUMBER(K632),IF(B632="",K632,IF(AND(ISNUMBER(MATCH(B632,'案件'!$A$6:$A$105,0)),OR(D632="材料費",D632="労務費",D632="外注費",D632="経費")),0,K632)),0)</f>
        <v/>
      </c>
    </row>
    <row r="633" ht="16" customHeight="1">
      <c r="A633" s="35" t="n"/>
      <c r="B633" s="36" t="n"/>
      <c r="C633" s="37">
        <f>IF(B633="","",IFERROR(INDEX('案件'!$B$6:$B$105,MATCH(B633,'案件'!$A$6:$A$105,0))&amp;"","（案件シートに無い番号）"))</f>
        <v/>
      </c>
      <c r="D633" s="36" t="n"/>
      <c r="E633" s="38" t="n"/>
      <c r="F633" s="39" t="n"/>
      <c r="G633" s="36" t="n"/>
      <c r="H633" s="40" t="n"/>
      <c r="I633" s="40" t="n"/>
      <c r="J633" s="41">
        <f>IF(ISNUMBER(H633),H633,IF(AND(D633="労務費",TRIM(E633)&lt;&gt;""),IFERROR(INDEX('設定'!$G$12:$G$31,MATCH(TRIM(E633),'設定'!$J$12:$J$31,0)),""),""))</f>
        <v/>
      </c>
      <c r="K633" s="30">
        <f>IF(AND(ISNUMBER(F633),ISNUMBER(J633)),ROUND(F633*J633,0),IF(ISNUMBER(I633),I633,""))</f>
        <v/>
      </c>
      <c r="L633" s="33" t="n"/>
      <c r="M633" s="34">
        <f>IF(COUNTA(A633:B633,D633:I633,L633)=0,"",IF(B633="","案件番号がありません",IF(ISNA(MATCH(B633,'案件'!$A$6:$A$105,0)),"案件シートに無い番号です",IF(NOT(OR(D633="材料費",D633="労務費",D633="外注費",D633="経費")),"費目を4つから選んでください",IF(K633="",IF(AND(ISNUMBER(F633),NOT(ISNUMBER(J633))),IF(D633="労務費","単価がありません（設定の作業者名と同じ書き方に）","単価がありません"),IF(AND(ISNUMBER(J633),NOT(ISNUMBER(F633))),"数量がありません","金額がありません")),IF(NOT(ISNUMBER(A633)),"日付がありません（月別集計に入りません）",IF(AND(ISNUMBER(F633),ISNUMBER(J633),ISNUMBER(I633)),"数量×単価を使いました（金額の欄は使っていません）","")))))))</f>
        <v/>
      </c>
      <c r="N633" s="91">
        <f>IF(AND(B633&lt;&gt;"",B633='案件カード'!$C$3),COUNTIF($B$5:B633,'案件カード'!$C$3),"")</f>
        <v/>
      </c>
      <c r="O633" s="91">
        <f>IF(ISNUMBER(K633),IF(B633="",K633,IF(AND(ISNUMBER(MATCH(B633,'案件'!$A$6:$A$105,0)),OR(D633="材料費",D633="労務費",D633="外注費",D633="経費")),0,K633)),0)</f>
        <v/>
      </c>
    </row>
    <row r="634" ht="16" customHeight="1">
      <c r="A634" s="35" t="n"/>
      <c r="B634" s="36" t="n"/>
      <c r="C634" s="37">
        <f>IF(B634="","",IFERROR(INDEX('案件'!$B$6:$B$105,MATCH(B634,'案件'!$A$6:$A$105,0))&amp;"","（案件シートに無い番号）"))</f>
        <v/>
      </c>
      <c r="D634" s="36" t="n"/>
      <c r="E634" s="38" t="n"/>
      <c r="F634" s="39" t="n"/>
      <c r="G634" s="36" t="n"/>
      <c r="H634" s="40" t="n"/>
      <c r="I634" s="40" t="n"/>
      <c r="J634" s="41">
        <f>IF(ISNUMBER(H634),H634,IF(AND(D634="労務費",TRIM(E634)&lt;&gt;""),IFERROR(INDEX('設定'!$G$12:$G$31,MATCH(TRIM(E634),'設定'!$J$12:$J$31,0)),""),""))</f>
        <v/>
      </c>
      <c r="K634" s="30">
        <f>IF(AND(ISNUMBER(F634),ISNUMBER(J634)),ROUND(F634*J634,0),IF(ISNUMBER(I634),I634,""))</f>
        <v/>
      </c>
      <c r="L634" s="33" t="n"/>
      <c r="M634" s="34">
        <f>IF(COUNTA(A634:B634,D634:I634,L634)=0,"",IF(B634="","案件番号がありません",IF(ISNA(MATCH(B634,'案件'!$A$6:$A$105,0)),"案件シートに無い番号です",IF(NOT(OR(D634="材料費",D634="労務費",D634="外注費",D634="経費")),"費目を4つから選んでください",IF(K634="",IF(AND(ISNUMBER(F634),NOT(ISNUMBER(J634))),IF(D634="労務費","単価がありません（設定の作業者名と同じ書き方に）","単価がありません"),IF(AND(ISNUMBER(J634),NOT(ISNUMBER(F634))),"数量がありません","金額がありません")),IF(NOT(ISNUMBER(A634)),"日付がありません（月別集計に入りません）",IF(AND(ISNUMBER(F634),ISNUMBER(J634),ISNUMBER(I634)),"数量×単価を使いました（金額の欄は使っていません）","")))))))</f>
        <v/>
      </c>
      <c r="N634" s="91">
        <f>IF(AND(B634&lt;&gt;"",B634='案件カード'!$C$3),COUNTIF($B$5:B634,'案件カード'!$C$3),"")</f>
        <v/>
      </c>
      <c r="O634" s="91">
        <f>IF(ISNUMBER(K634),IF(B634="",K634,IF(AND(ISNUMBER(MATCH(B634,'案件'!$A$6:$A$105,0)),OR(D634="材料費",D634="労務費",D634="外注費",D634="経費")),0,K634)),0)</f>
        <v/>
      </c>
    </row>
    <row r="635" ht="16" customHeight="1">
      <c r="A635" s="35" t="n"/>
      <c r="B635" s="36" t="n"/>
      <c r="C635" s="37">
        <f>IF(B635="","",IFERROR(INDEX('案件'!$B$6:$B$105,MATCH(B635,'案件'!$A$6:$A$105,0))&amp;"","（案件シートに無い番号）"))</f>
        <v/>
      </c>
      <c r="D635" s="36" t="n"/>
      <c r="E635" s="38" t="n"/>
      <c r="F635" s="39" t="n"/>
      <c r="G635" s="36" t="n"/>
      <c r="H635" s="40" t="n"/>
      <c r="I635" s="40" t="n"/>
      <c r="J635" s="41">
        <f>IF(ISNUMBER(H635),H635,IF(AND(D635="労務費",TRIM(E635)&lt;&gt;""),IFERROR(INDEX('設定'!$G$12:$G$31,MATCH(TRIM(E635),'設定'!$J$12:$J$31,0)),""),""))</f>
        <v/>
      </c>
      <c r="K635" s="30">
        <f>IF(AND(ISNUMBER(F635),ISNUMBER(J635)),ROUND(F635*J635,0),IF(ISNUMBER(I635),I635,""))</f>
        <v/>
      </c>
      <c r="L635" s="33" t="n"/>
      <c r="M635" s="34">
        <f>IF(COUNTA(A635:B635,D635:I635,L635)=0,"",IF(B635="","案件番号がありません",IF(ISNA(MATCH(B635,'案件'!$A$6:$A$105,0)),"案件シートに無い番号です",IF(NOT(OR(D635="材料費",D635="労務費",D635="外注費",D635="経費")),"費目を4つから選んでください",IF(K635="",IF(AND(ISNUMBER(F635),NOT(ISNUMBER(J635))),IF(D635="労務費","単価がありません（設定の作業者名と同じ書き方に）","単価がありません"),IF(AND(ISNUMBER(J635),NOT(ISNUMBER(F635))),"数量がありません","金額がありません")),IF(NOT(ISNUMBER(A635)),"日付がありません（月別集計に入りません）",IF(AND(ISNUMBER(F635),ISNUMBER(J635),ISNUMBER(I635)),"数量×単価を使いました（金額の欄は使っていません）","")))))))</f>
        <v/>
      </c>
      <c r="N635" s="91">
        <f>IF(AND(B635&lt;&gt;"",B635='案件カード'!$C$3),COUNTIF($B$5:B635,'案件カード'!$C$3),"")</f>
        <v/>
      </c>
      <c r="O635" s="91">
        <f>IF(ISNUMBER(K635),IF(B635="",K635,IF(AND(ISNUMBER(MATCH(B635,'案件'!$A$6:$A$105,0)),OR(D635="材料費",D635="労務費",D635="外注費",D635="経費")),0,K635)),0)</f>
        <v/>
      </c>
    </row>
    <row r="636" ht="16" customHeight="1">
      <c r="A636" s="35" t="n"/>
      <c r="B636" s="36" t="n"/>
      <c r="C636" s="37">
        <f>IF(B636="","",IFERROR(INDEX('案件'!$B$6:$B$105,MATCH(B636,'案件'!$A$6:$A$105,0))&amp;"","（案件シートに無い番号）"))</f>
        <v/>
      </c>
      <c r="D636" s="36" t="n"/>
      <c r="E636" s="38" t="n"/>
      <c r="F636" s="39" t="n"/>
      <c r="G636" s="36" t="n"/>
      <c r="H636" s="40" t="n"/>
      <c r="I636" s="40" t="n"/>
      <c r="J636" s="41">
        <f>IF(ISNUMBER(H636),H636,IF(AND(D636="労務費",TRIM(E636)&lt;&gt;""),IFERROR(INDEX('設定'!$G$12:$G$31,MATCH(TRIM(E636),'設定'!$J$12:$J$31,0)),""),""))</f>
        <v/>
      </c>
      <c r="K636" s="30">
        <f>IF(AND(ISNUMBER(F636),ISNUMBER(J636)),ROUND(F636*J636,0),IF(ISNUMBER(I636),I636,""))</f>
        <v/>
      </c>
      <c r="L636" s="33" t="n"/>
      <c r="M636" s="34">
        <f>IF(COUNTA(A636:B636,D636:I636,L636)=0,"",IF(B636="","案件番号がありません",IF(ISNA(MATCH(B636,'案件'!$A$6:$A$105,0)),"案件シートに無い番号です",IF(NOT(OR(D636="材料費",D636="労務費",D636="外注費",D636="経費")),"費目を4つから選んでください",IF(K636="",IF(AND(ISNUMBER(F636),NOT(ISNUMBER(J636))),IF(D636="労務費","単価がありません（設定の作業者名と同じ書き方に）","単価がありません"),IF(AND(ISNUMBER(J636),NOT(ISNUMBER(F636))),"数量がありません","金額がありません")),IF(NOT(ISNUMBER(A636)),"日付がありません（月別集計に入りません）",IF(AND(ISNUMBER(F636),ISNUMBER(J636),ISNUMBER(I636)),"数量×単価を使いました（金額の欄は使っていません）","")))))))</f>
        <v/>
      </c>
      <c r="N636" s="91">
        <f>IF(AND(B636&lt;&gt;"",B636='案件カード'!$C$3),COUNTIF($B$5:B636,'案件カード'!$C$3),"")</f>
        <v/>
      </c>
      <c r="O636" s="91">
        <f>IF(ISNUMBER(K636),IF(B636="",K636,IF(AND(ISNUMBER(MATCH(B636,'案件'!$A$6:$A$105,0)),OR(D636="材料費",D636="労務費",D636="外注費",D636="経費")),0,K636)),0)</f>
        <v/>
      </c>
    </row>
    <row r="637" ht="16" customHeight="1">
      <c r="A637" s="35" t="n"/>
      <c r="B637" s="36" t="n"/>
      <c r="C637" s="37">
        <f>IF(B637="","",IFERROR(INDEX('案件'!$B$6:$B$105,MATCH(B637,'案件'!$A$6:$A$105,0))&amp;"","（案件シートに無い番号）"))</f>
        <v/>
      </c>
      <c r="D637" s="36" t="n"/>
      <c r="E637" s="38" t="n"/>
      <c r="F637" s="39" t="n"/>
      <c r="G637" s="36" t="n"/>
      <c r="H637" s="40" t="n"/>
      <c r="I637" s="40" t="n"/>
      <c r="J637" s="41">
        <f>IF(ISNUMBER(H637),H637,IF(AND(D637="労務費",TRIM(E637)&lt;&gt;""),IFERROR(INDEX('設定'!$G$12:$G$31,MATCH(TRIM(E637),'設定'!$J$12:$J$31,0)),""),""))</f>
        <v/>
      </c>
      <c r="K637" s="30">
        <f>IF(AND(ISNUMBER(F637),ISNUMBER(J637)),ROUND(F637*J637,0),IF(ISNUMBER(I637),I637,""))</f>
        <v/>
      </c>
      <c r="L637" s="33" t="n"/>
      <c r="M637" s="34">
        <f>IF(COUNTA(A637:B637,D637:I637,L637)=0,"",IF(B637="","案件番号がありません",IF(ISNA(MATCH(B637,'案件'!$A$6:$A$105,0)),"案件シートに無い番号です",IF(NOT(OR(D637="材料費",D637="労務費",D637="外注費",D637="経費")),"費目を4つから選んでください",IF(K637="",IF(AND(ISNUMBER(F637),NOT(ISNUMBER(J637))),IF(D637="労務費","単価がありません（設定の作業者名と同じ書き方に）","単価がありません"),IF(AND(ISNUMBER(J637),NOT(ISNUMBER(F637))),"数量がありません","金額がありません")),IF(NOT(ISNUMBER(A637)),"日付がありません（月別集計に入りません）",IF(AND(ISNUMBER(F637),ISNUMBER(J637),ISNUMBER(I637)),"数量×単価を使いました（金額の欄は使っていません）","")))))))</f>
        <v/>
      </c>
      <c r="N637" s="91">
        <f>IF(AND(B637&lt;&gt;"",B637='案件カード'!$C$3),COUNTIF($B$5:B637,'案件カード'!$C$3),"")</f>
        <v/>
      </c>
      <c r="O637" s="91">
        <f>IF(ISNUMBER(K637),IF(B637="",K637,IF(AND(ISNUMBER(MATCH(B637,'案件'!$A$6:$A$105,0)),OR(D637="材料費",D637="労務費",D637="外注費",D637="経費")),0,K637)),0)</f>
        <v/>
      </c>
    </row>
    <row r="638" ht="16" customHeight="1">
      <c r="A638" s="35" t="n"/>
      <c r="B638" s="36" t="n"/>
      <c r="C638" s="37">
        <f>IF(B638="","",IFERROR(INDEX('案件'!$B$6:$B$105,MATCH(B638,'案件'!$A$6:$A$105,0))&amp;"","（案件シートに無い番号）"))</f>
        <v/>
      </c>
      <c r="D638" s="36" t="n"/>
      <c r="E638" s="38" t="n"/>
      <c r="F638" s="39" t="n"/>
      <c r="G638" s="36" t="n"/>
      <c r="H638" s="40" t="n"/>
      <c r="I638" s="40" t="n"/>
      <c r="J638" s="41">
        <f>IF(ISNUMBER(H638),H638,IF(AND(D638="労務費",TRIM(E638)&lt;&gt;""),IFERROR(INDEX('設定'!$G$12:$G$31,MATCH(TRIM(E638),'設定'!$J$12:$J$31,0)),""),""))</f>
        <v/>
      </c>
      <c r="K638" s="30">
        <f>IF(AND(ISNUMBER(F638),ISNUMBER(J638)),ROUND(F638*J638,0),IF(ISNUMBER(I638),I638,""))</f>
        <v/>
      </c>
      <c r="L638" s="33" t="n"/>
      <c r="M638" s="34">
        <f>IF(COUNTA(A638:B638,D638:I638,L638)=0,"",IF(B638="","案件番号がありません",IF(ISNA(MATCH(B638,'案件'!$A$6:$A$105,0)),"案件シートに無い番号です",IF(NOT(OR(D638="材料費",D638="労務費",D638="外注費",D638="経費")),"費目を4つから選んでください",IF(K638="",IF(AND(ISNUMBER(F638),NOT(ISNUMBER(J638))),IF(D638="労務費","単価がありません（設定の作業者名と同じ書き方に）","単価がありません"),IF(AND(ISNUMBER(J638),NOT(ISNUMBER(F638))),"数量がありません","金額がありません")),IF(NOT(ISNUMBER(A638)),"日付がありません（月別集計に入りません）",IF(AND(ISNUMBER(F638),ISNUMBER(J638),ISNUMBER(I638)),"数量×単価を使いました（金額の欄は使っていません）","")))))))</f>
        <v/>
      </c>
      <c r="N638" s="91">
        <f>IF(AND(B638&lt;&gt;"",B638='案件カード'!$C$3),COUNTIF($B$5:B638,'案件カード'!$C$3),"")</f>
        <v/>
      </c>
      <c r="O638" s="91">
        <f>IF(ISNUMBER(K638),IF(B638="",K638,IF(AND(ISNUMBER(MATCH(B638,'案件'!$A$6:$A$105,0)),OR(D638="材料費",D638="労務費",D638="外注費",D638="経費")),0,K638)),0)</f>
        <v/>
      </c>
    </row>
    <row r="639" ht="16" customHeight="1">
      <c r="A639" s="35" t="n"/>
      <c r="B639" s="36" t="n"/>
      <c r="C639" s="37">
        <f>IF(B639="","",IFERROR(INDEX('案件'!$B$6:$B$105,MATCH(B639,'案件'!$A$6:$A$105,0))&amp;"","（案件シートに無い番号）"))</f>
        <v/>
      </c>
      <c r="D639" s="36" t="n"/>
      <c r="E639" s="38" t="n"/>
      <c r="F639" s="39" t="n"/>
      <c r="G639" s="36" t="n"/>
      <c r="H639" s="40" t="n"/>
      <c r="I639" s="40" t="n"/>
      <c r="J639" s="41">
        <f>IF(ISNUMBER(H639),H639,IF(AND(D639="労務費",TRIM(E639)&lt;&gt;""),IFERROR(INDEX('設定'!$G$12:$G$31,MATCH(TRIM(E639),'設定'!$J$12:$J$31,0)),""),""))</f>
        <v/>
      </c>
      <c r="K639" s="30">
        <f>IF(AND(ISNUMBER(F639),ISNUMBER(J639)),ROUND(F639*J639,0),IF(ISNUMBER(I639),I639,""))</f>
        <v/>
      </c>
      <c r="L639" s="33" t="n"/>
      <c r="M639" s="34">
        <f>IF(COUNTA(A639:B639,D639:I639,L639)=0,"",IF(B639="","案件番号がありません",IF(ISNA(MATCH(B639,'案件'!$A$6:$A$105,0)),"案件シートに無い番号です",IF(NOT(OR(D639="材料費",D639="労務費",D639="外注費",D639="経費")),"費目を4つから選んでください",IF(K639="",IF(AND(ISNUMBER(F639),NOT(ISNUMBER(J639))),IF(D639="労務費","単価がありません（設定の作業者名と同じ書き方に）","単価がありません"),IF(AND(ISNUMBER(J639),NOT(ISNUMBER(F639))),"数量がありません","金額がありません")),IF(NOT(ISNUMBER(A639)),"日付がありません（月別集計に入りません）",IF(AND(ISNUMBER(F639),ISNUMBER(J639),ISNUMBER(I639)),"数量×単価を使いました（金額の欄は使っていません）","")))))))</f>
        <v/>
      </c>
      <c r="N639" s="91">
        <f>IF(AND(B639&lt;&gt;"",B639='案件カード'!$C$3),COUNTIF($B$5:B639,'案件カード'!$C$3),"")</f>
        <v/>
      </c>
      <c r="O639" s="91">
        <f>IF(ISNUMBER(K639),IF(B639="",K639,IF(AND(ISNUMBER(MATCH(B639,'案件'!$A$6:$A$105,0)),OR(D639="材料費",D639="労務費",D639="外注費",D639="経費")),0,K639)),0)</f>
        <v/>
      </c>
    </row>
    <row r="640" ht="16" customHeight="1">
      <c r="A640" s="35" t="n"/>
      <c r="B640" s="36" t="n"/>
      <c r="C640" s="37">
        <f>IF(B640="","",IFERROR(INDEX('案件'!$B$6:$B$105,MATCH(B640,'案件'!$A$6:$A$105,0))&amp;"","（案件シートに無い番号）"))</f>
        <v/>
      </c>
      <c r="D640" s="36" t="n"/>
      <c r="E640" s="38" t="n"/>
      <c r="F640" s="39" t="n"/>
      <c r="G640" s="36" t="n"/>
      <c r="H640" s="40" t="n"/>
      <c r="I640" s="40" t="n"/>
      <c r="J640" s="41">
        <f>IF(ISNUMBER(H640),H640,IF(AND(D640="労務費",TRIM(E640)&lt;&gt;""),IFERROR(INDEX('設定'!$G$12:$G$31,MATCH(TRIM(E640),'設定'!$J$12:$J$31,0)),""),""))</f>
        <v/>
      </c>
      <c r="K640" s="30">
        <f>IF(AND(ISNUMBER(F640),ISNUMBER(J640)),ROUND(F640*J640,0),IF(ISNUMBER(I640),I640,""))</f>
        <v/>
      </c>
      <c r="L640" s="33" t="n"/>
      <c r="M640" s="34">
        <f>IF(COUNTA(A640:B640,D640:I640,L640)=0,"",IF(B640="","案件番号がありません",IF(ISNA(MATCH(B640,'案件'!$A$6:$A$105,0)),"案件シートに無い番号です",IF(NOT(OR(D640="材料費",D640="労務費",D640="外注費",D640="経費")),"費目を4つから選んでください",IF(K640="",IF(AND(ISNUMBER(F640),NOT(ISNUMBER(J640))),IF(D640="労務費","単価がありません（設定の作業者名と同じ書き方に）","単価がありません"),IF(AND(ISNUMBER(J640),NOT(ISNUMBER(F640))),"数量がありません","金額がありません")),IF(NOT(ISNUMBER(A640)),"日付がありません（月別集計に入りません）",IF(AND(ISNUMBER(F640),ISNUMBER(J640),ISNUMBER(I640)),"数量×単価を使いました（金額の欄は使っていません）","")))))))</f>
        <v/>
      </c>
      <c r="N640" s="91">
        <f>IF(AND(B640&lt;&gt;"",B640='案件カード'!$C$3),COUNTIF($B$5:B640,'案件カード'!$C$3),"")</f>
        <v/>
      </c>
      <c r="O640" s="91">
        <f>IF(ISNUMBER(K640),IF(B640="",K640,IF(AND(ISNUMBER(MATCH(B640,'案件'!$A$6:$A$105,0)),OR(D640="材料費",D640="労務費",D640="外注費",D640="経費")),0,K640)),0)</f>
        <v/>
      </c>
    </row>
    <row r="641" ht="16" customHeight="1">
      <c r="A641" s="35" t="n"/>
      <c r="B641" s="36" t="n"/>
      <c r="C641" s="37">
        <f>IF(B641="","",IFERROR(INDEX('案件'!$B$6:$B$105,MATCH(B641,'案件'!$A$6:$A$105,0))&amp;"","（案件シートに無い番号）"))</f>
        <v/>
      </c>
      <c r="D641" s="36" t="n"/>
      <c r="E641" s="38" t="n"/>
      <c r="F641" s="39" t="n"/>
      <c r="G641" s="36" t="n"/>
      <c r="H641" s="40" t="n"/>
      <c r="I641" s="40" t="n"/>
      <c r="J641" s="41">
        <f>IF(ISNUMBER(H641),H641,IF(AND(D641="労務費",TRIM(E641)&lt;&gt;""),IFERROR(INDEX('設定'!$G$12:$G$31,MATCH(TRIM(E641),'設定'!$J$12:$J$31,0)),""),""))</f>
        <v/>
      </c>
      <c r="K641" s="30">
        <f>IF(AND(ISNUMBER(F641),ISNUMBER(J641)),ROUND(F641*J641,0),IF(ISNUMBER(I641),I641,""))</f>
        <v/>
      </c>
      <c r="L641" s="33" t="n"/>
      <c r="M641" s="34">
        <f>IF(COUNTA(A641:B641,D641:I641,L641)=0,"",IF(B641="","案件番号がありません",IF(ISNA(MATCH(B641,'案件'!$A$6:$A$105,0)),"案件シートに無い番号です",IF(NOT(OR(D641="材料費",D641="労務費",D641="外注費",D641="経費")),"費目を4つから選んでください",IF(K641="",IF(AND(ISNUMBER(F641),NOT(ISNUMBER(J641))),IF(D641="労務費","単価がありません（設定の作業者名と同じ書き方に）","単価がありません"),IF(AND(ISNUMBER(J641),NOT(ISNUMBER(F641))),"数量がありません","金額がありません")),IF(NOT(ISNUMBER(A641)),"日付がありません（月別集計に入りません）",IF(AND(ISNUMBER(F641),ISNUMBER(J641),ISNUMBER(I641)),"数量×単価を使いました（金額の欄は使っていません）","")))))))</f>
        <v/>
      </c>
      <c r="N641" s="91">
        <f>IF(AND(B641&lt;&gt;"",B641='案件カード'!$C$3),COUNTIF($B$5:B641,'案件カード'!$C$3),"")</f>
        <v/>
      </c>
      <c r="O641" s="91">
        <f>IF(ISNUMBER(K641),IF(B641="",K641,IF(AND(ISNUMBER(MATCH(B641,'案件'!$A$6:$A$105,0)),OR(D641="材料費",D641="労務費",D641="外注費",D641="経費")),0,K641)),0)</f>
        <v/>
      </c>
    </row>
    <row r="642" ht="16" customHeight="1">
      <c r="A642" s="35" t="n"/>
      <c r="B642" s="36" t="n"/>
      <c r="C642" s="37">
        <f>IF(B642="","",IFERROR(INDEX('案件'!$B$6:$B$105,MATCH(B642,'案件'!$A$6:$A$105,0))&amp;"","（案件シートに無い番号）"))</f>
        <v/>
      </c>
      <c r="D642" s="36" t="n"/>
      <c r="E642" s="38" t="n"/>
      <c r="F642" s="39" t="n"/>
      <c r="G642" s="36" t="n"/>
      <c r="H642" s="40" t="n"/>
      <c r="I642" s="40" t="n"/>
      <c r="J642" s="41">
        <f>IF(ISNUMBER(H642),H642,IF(AND(D642="労務費",TRIM(E642)&lt;&gt;""),IFERROR(INDEX('設定'!$G$12:$G$31,MATCH(TRIM(E642),'設定'!$J$12:$J$31,0)),""),""))</f>
        <v/>
      </c>
      <c r="K642" s="30">
        <f>IF(AND(ISNUMBER(F642),ISNUMBER(J642)),ROUND(F642*J642,0),IF(ISNUMBER(I642),I642,""))</f>
        <v/>
      </c>
      <c r="L642" s="33" t="n"/>
      <c r="M642" s="34">
        <f>IF(COUNTA(A642:B642,D642:I642,L642)=0,"",IF(B642="","案件番号がありません",IF(ISNA(MATCH(B642,'案件'!$A$6:$A$105,0)),"案件シートに無い番号です",IF(NOT(OR(D642="材料費",D642="労務費",D642="外注費",D642="経費")),"費目を4つから選んでください",IF(K642="",IF(AND(ISNUMBER(F642),NOT(ISNUMBER(J642))),IF(D642="労務費","単価がありません（設定の作業者名と同じ書き方に）","単価がありません"),IF(AND(ISNUMBER(J642),NOT(ISNUMBER(F642))),"数量がありません","金額がありません")),IF(NOT(ISNUMBER(A642)),"日付がありません（月別集計に入りません）",IF(AND(ISNUMBER(F642),ISNUMBER(J642),ISNUMBER(I642)),"数量×単価を使いました（金額の欄は使っていません）","")))))))</f>
        <v/>
      </c>
      <c r="N642" s="91">
        <f>IF(AND(B642&lt;&gt;"",B642='案件カード'!$C$3),COUNTIF($B$5:B642,'案件カード'!$C$3),"")</f>
        <v/>
      </c>
      <c r="O642" s="91">
        <f>IF(ISNUMBER(K642),IF(B642="",K642,IF(AND(ISNUMBER(MATCH(B642,'案件'!$A$6:$A$105,0)),OR(D642="材料費",D642="労務費",D642="外注費",D642="経費")),0,K642)),0)</f>
        <v/>
      </c>
    </row>
    <row r="643" ht="16" customHeight="1">
      <c r="A643" s="35" t="n"/>
      <c r="B643" s="36" t="n"/>
      <c r="C643" s="37">
        <f>IF(B643="","",IFERROR(INDEX('案件'!$B$6:$B$105,MATCH(B643,'案件'!$A$6:$A$105,0))&amp;"","（案件シートに無い番号）"))</f>
        <v/>
      </c>
      <c r="D643" s="36" t="n"/>
      <c r="E643" s="38" t="n"/>
      <c r="F643" s="39" t="n"/>
      <c r="G643" s="36" t="n"/>
      <c r="H643" s="40" t="n"/>
      <c r="I643" s="40" t="n"/>
      <c r="J643" s="41">
        <f>IF(ISNUMBER(H643),H643,IF(AND(D643="労務費",TRIM(E643)&lt;&gt;""),IFERROR(INDEX('設定'!$G$12:$G$31,MATCH(TRIM(E643),'設定'!$J$12:$J$31,0)),""),""))</f>
        <v/>
      </c>
      <c r="K643" s="30">
        <f>IF(AND(ISNUMBER(F643),ISNUMBER(J643)),ROUND(F643*J643,0),IF(ISNUMBER(I643),I643,""))</f>
        <v/>
      </c>
      <c r="L643" s="33" t="n"/>
      <c r="M643" s="34">
        <f>IF(COUNTA(A643:B643,D643:I643,L643)=0,"",IF(B643="","案件番号がありません",IF(ISNA(MATCH(B643,'案件'!$A$6:$A$105,0)),"案件シートに無い番号です",IF(NOT(OR(D643="材料費",D643="労務費",D643="外注費",D643="経費")),"費目を4つから選んでください",IF(K643="",IF(AND(ISNUMBER(F643),NOT(ISNUMBER(J643))),IF(D643="労務費","単価がありません（設定の作業者名と同じ書き方に）","単価がありません"),IF(AND(ISNUMBER(J643),NOT(ISNUMBER(F643))),"数量がありません","金額がありません")),IF(NOT(ISNUMBER(A643)),"日付がありません（月別集計に入りません）",IF(AND(ISNUMBER(F643),ISNUMBER(J643),ISNUMBER(I643)),"数量×単価を使いました（金額の欄は使っていません）","")))))))</f>
        <v/>
      </c>
      <c r="N643" s="91">
        <f>IF(AND(B643&lt;&gt;"",B643='案件カード'!$C$3),COUNTIF($B$5:B643,'案件カード'!$C$3),"")</f>
        <v/>
      </c>
      <c r="O643" s="91">
        <f>IF(ISNUMBER(K643),IF(B643="",K643,IF(AND(ISNUMBER(MATCH(B643,'案件'!$A$6:$A$105,0)),OR(D643="材料費",D643="労務費",D643="外注費",D643="経費")),0,K643)),0)</f>
        <v/>
      </c>
    </row>
    <row r="644" ht="16" customHeight="1">
      <c r="A644" s="35" t="n"/>
      <c r="B644" s="36" t="n"/>
      <c r="C644" s="37">
        <f>IF(B644="","",IFERROR(INDEX('案件'!$B$6:$B$105,MATCH(B644,'案件'!$A$6:$A$105,0))&amp;"","（案件シートに無い番号）"))</f>
        <v/>
      </c>
      <c r="D644" s="36" t="n"/>
      <c r="E644" s="38" t="n"/>
      <c r="F644" s="39" t="n"/>
      <c r="G644" s="36" t="n"/>
      <c r="H644" s="40" t="n"/>
      <c r="I644" s="40" t="n"/>
      <c r="J644" s="41">
        <f>IF(ISNUMBER(H644),H644,IF(AND(D644="労務費",TRIM(E644)&lt;&gt;""),IFERROR(INDEX('設定'!$G$12:$G$31,MATCH(TRIM(E644),'設定'!$J$12:$J$31,0)),""),""))</f>
        <v/>
      </c>
      <c r="K644" s="30">
        <f>IF(AND(ISNUMBER(F644),ISNUMBER(J644)),ROUND(F644*J644,0),IF(ISNUMBER(I644),I644,""))</f>
        <v/>
      </c>
      <c r="L644" s="33" t="n"/>
      <c r="M644" s="34">
        <f>IF(COUNTA(A644:B644,D644:I644,L644)=0,"",IF(B644="","案件番号がありません",IF(ISNA(MATCH(B644,'案件'!$A$6:$A$105,0)),"案件シートに無い番号です",IF(NOT(OR(D644="材料費",D644="労務費",D644="外注費",D644="経費")),"費目を4つから選んでください",IF(K644="",IF(AND(ISNUMBER(F644),NOT(ISNUMBER(J644))),IF(D644="労務費","単価がありません（設定の作業者名と同じ書き方に）","単価がありません"),IF(AND(ISNUMBER(J644),NOT(ISNUMBER(F644))),"数量がありません","金額がありません")),IF(NOT(ISNUMBER(A644)),"日付がありません（月別集計に入りません）",IF(AND(ISNUMBER(F644),ISNUMBER(J644),ISNUMBER(I644)),"数量×単価を使いました（金額の欄は使っていません）","")))))))</f>
        <v/>
      </c>
      <c r="N644" s="91">
        <f>IF(AND(B644&lt;&gt;"",B644='案件カード'!$C$3),COUNTIF($B$5:B644,'案件カード'!$C$3),"")</f>
        <v/>
      </c>
      <c r="O644" s="91">
        <f>IF(ISNUMBER(K644),IF(B644="",K644,IF(AND(ISNUMBER(MATCH(B644,'案件'!$A$6:$A$105,0)),OR(D644="材料費",D644="労務費",D644="外注費",D644="経費")),0,K644)),0)</f>
        <v/>
      </c>
    </row>
    <row r="645" ht="16" customHeight="1">
      <c r="A645" s="35" t="n"/>
      <c r="B645" s="36" t="n"/>
      <c r="C645" s="37">
        <f>IF(B645="","",IFERROR(INDEX('案件'!$B$6:$B$105,MATCH(B645,'案件'!$A$6:$A$105,0))&amp;"","（案件シートに無い番号）"))</f>
        <v/>
      </c>
      <c r="D645" s="36" t="n"/>
      <c r="E645" s="38" t="n"/>
      <c r="F645" s="39" t="n"/>
      <c r="G645" s="36" t="n"/>
      <c r="H645" s="40" t="n"/>
      <c r="I645" s="40" t="n"/>
      <c r="J645" s="41">
        <f>IF(ISNUMBER(H645),H645,IF(AND(D645="労務費",TRIM(E645)&lt;&gt;""),IFERROR(INDEX('設定'!$G$12:$G$31,MATCH(TRIM(E645),'設定'!$J$12:$J$31,0)),""),""))</f>
        <v/>
      </c>
      <c r="K645" s="30">
        <f>IF(AND(ISNUMBER(F645),ISNUMBER(J645)),ROUND(F645*J645,0),IF(ISNUMBER(I645),I645,""))</f>
        <v/>
      </c>
      <c r="L645" s="33" t="n"/>
      <c r="M645" s="34">
        <f>IF(COUNTA(A645:B645,D645:I645,L645)=0,"",IF(B645="","案件番号がありません",IF(ISNA(MATCH(B645,'案件'!$A$6:$A$105,0)),"案件シートに無い番号です",IF(NOT(OR(D645="材料費",D645="労務費",D645="外注費",D645="経費")),"費目を4つから選んでください",IF(K645="",IF(AND(ISNUMBER(F645),NOT(ISNUMBER(J645))),IF(D645="労務費","単価がありません（設定の作業者名と同じ書き方に）","単価がありません"),IF(AND(ISNUMBER(J645),NOT(ISNUMBER(F645))),"数量がありません","金額がありません")),IF(NOT(ISNUMBER(A645)),"日付がありません（月別集計に入りません）",IF(AND(ISNUMBER(F645),ISNUMBER(J645),ISNUMBER(I645)),"数量×単価を使いました（金額の欄は使っていません）","")))))))</f>
        <v/>
      </c>
      <c r="N645" s="91">
        <f>IF(AND(B645&lt;&gt;"",B645='案件カード'!$C$3),COUNTIF($B$5:B645,'案件カード'!$C$3),"")</f>
        <v/>
      </c>
      <c r="O645" s="91">
        <f>IF(ISNUMBER(K645),IF(B645="",K645,IF(AND(ISNUMBER(MATCH(B645,'案件'!$A$6:$A$105,0)),OR(D645="材料費",D645="労務費",D645="外注費",D645="経費")),0,K645)),0)</f>
        <v/>
      </c>
    </row>
    <row r="646" ht="16" customHeight="1">
      <c r="A646" s="35" t="n"/>
      <c r="B646" s="36" t="n"/>
      <c r="C646" s="37">
        <f>IF(B646="","",IFERROR(INDEX('案件'!$B$6:$B$105,MATCH(B646,'案件'!$A$6:$A$105,0))&amp;"","（案件シートに無い番号）"))</f>
        <v/>
      </c>
      <c r="D646" s="36" t="n"/>
      <c r="E646" s="38" t="n"/>
      <c r="F646" s="39" t="n"/>
      <c r="G646" s="36" t="n"/>
      <c r="H646" s="40" t="n"/>
      <c r="I646" s="40" t="n"/>
      <c r="J646" s="41">
        <f>IF(ISNUMBER(H646),H646,IF(AND(D646="労務費",TRIM(E646)&lt;&gt;""),IFERROR(INDEX('設定'!$G$12:$G$31,MATCH(TRIM(E646),'設定'!$J$12:$J$31,0)),""),""))</f>
        <v/>
      </c>
      <c r="K646" s="30">
        <f>IF(AND(ISNUMBER(F646),ISNUMBER(J646)),ROUND(F646*J646,0),IF(ISNUMBER(I646),I646,""))</f>
        <v/>
      </c>
      <c r="L646" s="33" t="n"/>
      <c r="M646" s="34">
        <f>IF(COUNTA(A646:B646,D646:I646,L646)=0,"",IF(B646="","案件番号がありません",IF(ISNA(MATCH(B646,'案件'!$A$6:$A$105,0)),"案件シートに無い番号です",IF(NOT(OR(D646="材料費",D646="労務費",D646="外注費",D646="経費")),"費目を4つから選んでください",IF(K646="",IF(AND(ISNUMBER(F646),NOT(ISNUMBER(J646))),IF(D646="労務費","単価がありません（設定の作業者名と同じ書き方に）","単価がありません"),IF(AND(ISNUMBER(J646),NOT(ISNUMBER(F646))),"数量がありません","金額がありません")),IF(NOT(ISNUMBER(A646)),"日付がありません（月別集計に入りません）",IF(AND(ISNUMBER(F646),ISNUMBER(J646),ISNUMBER(I646)),"数量×単価を使いました（金額の欄は使っていません）","")))))))</f>
        <v/>
      </c>
      <c r="N646" s="91">
        <f>IF(AND(B646&lt;&gt;"",B646='案件カード'!$C$3),COUNTIF($B$5:B646,'案件カード'!$C$3),"")</f>
        <v/>
      </c>
      <c r="O646" s="91">
        <f>IF(ISNUMBER(K646),IF(B646="",K646,IF(AND(ISNUMBER(MATCH(B646,'案件'!$A$6:$A$105,0)),OR(D646="材料費",D646="労務費",D646="外注費",D646="経費")),0,K646)),0)</f>
        <v/>
      </c>
    </row>
    <row r="647" ht="16" customHeight="1">
      <c r="A647" s="35" t="n"/>
      <c r="B647" s="36" t="n"/>
      <c r="C647" s="37">
        <f>IF(B647="","",IFERROR(INDEX('案件'!$B$6:$B$105,MATCH(B647,'案件'!$A$6:$A$105,0))&amp;"","（案件シートに無い番号）"))</f>
        <v/>
      </c>
      <c r="D647" s="36" t="n"/>
      <c r="E647" s="38" t="n"/>
      <c r="F647" s="39" t="n"/>
      <c r="G647" s="36" t="n"/>
      <c r="H647" s="40" t="n"/>
      <c r="I647" s="40" t="n"/>
      <c r="J647" s="41">
        <f>IF(ISNUMBER(H647),H647,IF(AND(D647="労務費",TRIM(E647)&lt;&gt;""),IFERROR(INDEX('設定'!$G$12:$G$31,MATCH(TRIM(E647),'設定'!$J$12:$J$31,0)),""),""))</f>
        <v/>
      </c>
      <c r="K647" s="30">
        <f>IF(AND(ISNUMBER(F647),ISNUMBER(J647)),ROUND(F647*J647,0),IF(ISNUMBER(I647),I647,""))</f>
        <v/>
      </c>
      <c r="L647" s="33" t="n"/>
      <c r="M647" s="34">
        <f>IF(COUNTA(A647:B647,D647:I647,L647)=0,"",IF(B647="","案件番号がありません",IF(ISNA(MATCH(B647,'案件'!$A$6:$A$105,0)),"案件シートに無い番号です",IF(NOT(OR(D647="材料費",D647="労務費",D647="外注費",D647="経費")),"費目を4つから選んでください",IF(K647="",IF(AND(ISNUMBER(F647),NOT(ISNUMBER(J647))),IF(D647="労務費","単価がありません（設定の作業者名と同じ書き方に）","単価がありません"),IF(AND(ISNUMBER(J647),NOT(ISNUMBER(F647))),"数量がありません","金額がありません")),IF(NOT(ISNUMBER(A647)),"日付がありません（月別集計に入りません）",IF(AND(ISNUMBER(F647),ISNUMBER(J647),ISNUMBER(I647)),"数量×単価を使いました（金額の欄は使っていません）","")))))))</f>
        <v/>
      </c>
      <c r="N647" s="91">
        <f>IF(AND(B647&lt;&gt;"",B647='案件カード'!$C$3),COUNTIF($B$5:B647,'案件カード'!$C$3),"")</f>
        <v/>
      </c>
      <c r="O647" s="91">
        <f>IF(ISNUMBER(K647),IF(B647="",K647,IF(AND(ISNUMBER(MATCH(B647,'案件'!$A$6:$A$105,0)),OR(D647="材料費",D647="労務費",D647="外注費",D647="経費")),0,K647)),0)</f>
        <v/>
      </c>
    </row>
    <row r="648" ht="16" customHeight="1">
      <c r="A648" s="35" t="n"/>
      <c r="B648" s="36" t="n"/>
      <c r="C648" s="37">
        <f>IF(B648="","",IFERROR(INDEX('案件'!$B$6:$B$105,MATCH(B648,'案件'!$A$6:$A$105,0))&amp;"","（案件シートに無い番号）"))</f>
        <v/>
      </c>
      <c r="D648" s="36" t="n"/>
      <c r="E648" s="38" t="n"/>
      <c r="F648" s="39" t="n"/>
      <c r="G648" s="36" t="n"/>
      <c r="H648" s="40" t="n"/>
      <c r="I648" s="40" t="n"/>
      <c r="J648" s="41">
        <f>IF(ISNUMBER(H648),H648,IF(AND(D648="労務費",TRIM(E648)&lt;&gt;""),IFERROR(INDEX('設定'!$G$12:$G$31,MATCH(TRIM(E648),'設定'!$J$12:$J$31,0)),""),""))</f>
        <v/>
      </c>
      <c r="K648" s="30">
        <f>IF(AND(ISNUMBER(F648),ISNUMBER(J648)),ROUND(F648*J648,0),IF(ISNUMBER(I648),I648,""))</f>
        <v/>
      </c>
      <c r="L648" s="33" t="n"/>
      <c r="M648" s="34">
        <f>IF(COUNTA(A648:B648,D648:I648,L648)=0,"",IF(B648="","案件番号がありません",IF(ISNA(MATCH(B648,'案件'!$A$6:$A$105,0)),"案件シートに無い番号です",IF(NOT(OR(D648="材料費",D648="労務費",D648="外注費",D648="経費")),"費目を4つから選んでください",IF(K648="",IF(AND(ISNUMBER(F648),NOT(ISNUMBER(J648))),IF(D648="労務費","単価がありません（設定の作業者名と同じ書き方に）","単価がありません"),IF(AND(ISNUMBER(J648),NOT(ISNUMBER(F648))),"数量がありません","金額がありません")),IF(NOT(ISNUMBER(A648)),"日付がありません（月別集計に入りません）",IF(AND(ISNUMBER(F648),ISNUMBER(J648),ISNUMBER(I648)),"数量×単価を使いました（金額の欄は使っていません）","")))))))</f>
        <v/>
      </c>
      <c r="N648" s="91">
        <f>IF(AND(B648&lt;&gt;"",B648='案件カード'!$C$3),COUNTIF($B$5:B648,'案件カード'!$C$3),"")</f>
        <v/>
      </c>
      <c r="O648" s="91">
        <f>IF(ISNUMBER(K648),IF(B648="",K648,IF(AND(ISNUMBER(MATCH(B648,'案件'!$A$6:$A$105,0)),OR(D648="材料費",D648="労務費",D648="外注費",D648="経費")),0,K648)),0)</f>
        <v/>
      </c>
    </row>
    <row r="649" ht="16" customHeight="1">
      <c r="A649" s="35" t="n"/>
      <c r="B649" s="36" t="n"/>
      <c r="C649" s="37">
        <f>IF(B649="","",IFERROR(INDEX('案件'!$B$6:$B$105,MATCH(B649,'案件'!$A$6:$A$105,0))&amp;"","（案件シートに無い番号）"))</f>
        <v/>
      </c>
      <c r="D649" s="36" t="n"/>
      <c r="E649" s="38" t="n"/>
      <c r="F649" s="39" t="n"/>
      <c r="G649" s="36" t="n"/>
      <c r="H649" s="40" t="n"/>
      <c r="I649" s="40" t="n"/>
      <c r="J649" s="41">
        <f>IF(ISNUMBER(H649),H649,IF(AND(D649="労務費",TRIM(E649)&lt;&gt;""),IFERROR(INDEX('設定'!$G$12:$G$31,MATCH(TRIM(E649),'設定'!$J$12:$J$31,0)),""),""))</f>
        <v/>
      </c>
      <c r="K649" s="30">
        <f>IF(AND(ISNUMBER(F649),ISNUMBER(J649)),ROUND(F649*J649,0),IF(ISNUMBER(I649),I649,""))</f>
        <v/>
      </c>
      <c r="L649" s="33" t="n"/>
      <c r="M649" s="34">
        <f>IF(COUNTA(A649:B649,D649:I649,L649)=0,"",IF(B649="","案件番号がありません",IF(ISNA(MATCH(B649,'案件'!$A$6:$A$105,0)),"案件シートに無い番号です",IF(NOT(OR(D649="材料費",D649="労務費",D649="外注費",D649="経費")),"費目を4つから選んでください",IF(K649="",IF(AND(ISNUMBER(F649),NOT(ISNUMBER(J649))),IF(D649="労務費","単価がありません（設定の作業者名と同じ書き方に）","単価がありません"),IF(AND(ISNUMBER(J649),NOT(ISNUMBER(F649))),"数量がありません","金額がありません")),IF(NOT(ISNUMBER(A649)),"日付がありません（月別集計に入りません）",IF(AND(ISNUMBER(F649),ISNUMBER(J649),ISNUMBER(I649)),"数量×単価を使いました（金額の欄は使っていません）","")))))))</f>
        <v/>
      </c>
      <c r="N649" s="91">
        <f>IF(AND(B649&lt;&gt;"",B649='案件カード'!$C$3),COUNTIF($B$5:B649,'案件カード'!$C$3),"")</f>
        <v/>
      </c>
      <c r="O649" s="91">
        <f>IF(ISNUMBER(K649),IF(B649="",K649,IF(AND(ISNUMBER(MATCH(B649,'案件'!$A$6:$A$105,0)),OR(D649="材料費",D649="労務費",D649="外注費",D649="経費")),0,K649)),0)</f>
        <v/>
      </c>
    </row>
    <row r="650" ht="16" customHeight="1">
      <c r="A650" s="35" t="n"/>
      <c r="B650" s="36" t="n"/>
      <c r="C650" s="37">
        <f>IF(B650="","",IFERROR(INDEX('案件'!$B$6:$B$105,MATCH(B650,'案件'!$A$6:$A$105,0))&amp;"","（案件シートに無い番号）"))</f>
        <v/>
      </c>
      <c r="D650" s="36" t="n"/>
      <c r="E650" s="38" t="n"/>
      <c r="F650" s="39" t="n"/>
      <c r="G650" s="36" t="n"/>
      <c r="H650" s="40" t="n"/>
      <c r="I650" s="40" t="n"/>
      <c r="J650" s="41">
        <f>IF(ISNUMBER(H650),H650,IF(AND(D650="労務費",TRIM(E650)&lt;&gt;""),IFERROR(INDEX('設定'!$G$12:$G$31,MATCH(TRIM(E650),'設定'!$J$12:$J$31,0)),""),""))</f>
        <v/>
      </c>
      <c r="K650" s="30">
        <f>IF(AND(ISNUMBER(F650),ISNUMBER(J650)),ROUND(F650*J650,0),IF(ISNUMBER(I650),I650,""))</f>
        <v/>
      </c>
      <c r="L650" s="33" t="n"/>
      <c r="M650" s="34">
        <f>IF(COUNTA(A650:B650,D650:I650,L650)=0,"",IF(B650="","案件番号がありません",IF(ISNA(MATCH(B650,'案件'!$A$6:$A$105,0)),"案件シートに無い番号です",IF(NOT(OR(D650="材料費",D650="労務費",D650="外注費",D650="経費")),"費目を4つから選んでください",IF(K650="",IF(AND(ISNUMBER(F650),NOT(ISNUMBER(J650))),IF(D650="労務費","単価がありません（設定の作業者名と同じ書き方に）","単価がありません"),IF(AND(ISNUMBER(J650),NOT(ISNUMBER(F650))),"数量がありません","金額がありません")),IF(NOT(ISNUMBER(A650)),"日付がありません（月別集計に入りません）",IF(AND(ISNUMBER(F650),ISNUMBER(J650),ISNUMBER(I650)),"数量×単価を使いました（金額の欄は使っていません）","")))))))</f>
        <v/>
      </c>
      <c r="N650" s="91">
        <f>IF(AND(B650&lt;&gt;"",B650='案件カード'!$C$3),COUNTIF($B$5:B650,'案件カード'!$C$3),"")</f>
        <v/>
      </c>
      <c r="O650" s="91">
        <f>IF(ISNUMBER(K650),IF(B650="",K650,IF(AND(ISNUMBER(MATCH(B650,'案件'!$A$6:$A$105,0)),OR(D650="材料費",D650="労務費",D650="外注費",D650="経費")),0,K650)),0)</f>
        <v/>
      </c>
    </row>
    <row r="651" ht="16" customHeight="1">
      <c r="A651" s="35" t="n"/>
      <c r="B651" s="36" t="n"/>
      <c r="C651" s="37">
        <f>IF(B651="","",IFERROR(INDEX('案件'!$B$6:$B$105,MATCH(B651,'案件'!$A$6:$A$105,0))&amp;"","（案件シートに無い番号）"))</f>
        <v/>
      </c>
      <c r="D651" s="36" t="n"/>
      <c r="E651" s="38" t="n"/>
      <c r="F651" s="39" t="n"/>
      <c r="G651" s="36" t="n"/>
      <c r="H651" s="40" t="n"/>
      <c r="I651" s="40" t="n"/>
      <c r="J651" s="41">
        <f>IF(ISNUMBER(H651),H651,IF(AND(D651="労務費",TRIM(E651)&lt;&gt;""),IFERROR(INDEX('設定'!$G$12:$G$31,MATCH(TRIM(E651),'設定'!$J$12:$J$31,0)),""),""))</f>
        <v/>
      </c>
      <c r="K651" s="30">
        <f>IF(AND(ISNUMBER(F651),ISNUMBER(J651)),ROUND(F651*J651,0),IF(ISNUMBER(I651),I651,""))</f>
        <v/>
      </c>
      <c r="L651" s="33" t="n"/>
      <c r="M651" s="34">
        <f>IF(COUNTA(A651:B651,D651:I651,L651)=0,"",IF(B651="","案件番号がありません",IF(ISNA(MATCH(B651,'案件'!$A$6:$A$105,0)),"案件シートに無い番号です",IF(NOT(OR(D651="材料費",D651="労務費",D651="外注費",D651="経費")),"費目を4つから選んでください",IF(K651="",IF(AND(ISNUMBER(F651),NOT(ISNUMBER(J651))),IF(D651="労務費","単価がありません（設定の作業者名と同じ書き方に）","単価がありません"),IF(AND(ISNUMBER(J651),NOT(ISNUMBER(F651))),"数量がありません","金額がありません")),IF(NOT(ISNUMBER(A651)),"日付がありません（月別集計に入りません）",IF(AND(ISNUMBER(F651),ISNUMBER(J651),ISNUMBER(I651)),"数量×単価を使いました（金額の欄は使っていません）","")))))))</f>
        <v/>
      </c>
      <c r="N651" s="91">
        <f>IF(AND(B651&lt;&gt;"",B651='案件カード'!$C$3),COUNTIF($B$5:B651,'案件カード'!$C$3),"")</f>
        <v/>
      </c>
      <c r="O651" s="91">
        <f>IF(ISNUMBER(K651),IF(B651="",K651,IF(AND(ISNUMBER(MATCH(B651,'案件'!$A$6:$A$105,0)),OR(D651="材料費",D651="労務費",D651="外注費",D651="経費")),0,K651)),0)</f>
        <v/>
      </c>
    </row>
    <row r="652" ht="16" customHeight="1">
      <c r="A652" s="35" t="n"/>
      <c r="B652" s="36" t="n"/>
      <c r="C652" s="37">
        <f>IF(B652="","",IFERROR(INDEX('案件'!$B$6:$B$105,MATCH(B652,'案件'!$A$6:$A$105,0))&amp;"","（案件シートに無い番号）"))</f>
        <v/>
      </c>
      <c r="D652" s="36" t="n"/>
      <c r="E652" s="38" t="n"/>
      <c r="F652" s="39" t="n"/>
      <c r="G652" s="36" t="n"/>
      <c r="H652" s="40" t="n"/>
      <c r="I652" s="40" t="n"/>
      <c r="J652" s="41">
        <f>IF(ISNUMBER(H652),H652,IF(AND(D652="労務費",TRIM(E652)&lt;&gt;""),IFERROR(INDEX('設定'!$G$12:$G$31,MATCH(TRIM(E652),'設定'!$J$12:$J$31,0)),""),""))</f>
        <v/>
      </c>
      <c r="K652" s="30">
        <f>IF(AND(ISNUMBER(F652),ISNUMBER(J652)),ROUND(F652*J652,0),IF(ISNUMBER(I652),I652,""))</f>
        <v/>
      </c>
      <c r="L652" s="33" t="n"/>
      <c r="M652" s="34">
        <f>IF(COUNTA(A652:B652,D652:I652,L652)=0,"",IF(B652="","案件番号がありません",IF(ISNA(MATCH(B652,'案件'!$A$6:$A$105,0)),"案件シートに無い番号です",IF(NOT(OR(D652="材料費",D652="労務費",D652="外注費",D652="経費")),"費目を4つから選んでください",IF(K652="",IF(AND(ISNUMBER(F652),NOT(ISNUMBER(J652))),IF(D652="労務費","単価がありません（設定の作業者名と同じ書き方に）","単価がありません"),IF(AND(ISNUMBER(J652),NOT(ISNUMBER(F652))),"数量がありません","金額がありません")),IF(NOT(ISNUMBER(A652)),"日付がありません（月別集計に入りません）",IF(AND(ISNUMBER(F652),ISNUMBER(J652),ISNUMBER(I652)),"数量×単価を使いました（金額の欄は使っていません）","")))))))</f>
        <v/>
      </c>
      <c r="N652" s="91">
        <f>IF(AND(B652&lt;&gt;"",B652='案件カード'!$C$3),COUNTIF($B$5:B652,'案件カード'!$C$3),"")</f>
        <v/>
      </c>
      <c r="O652" s="91">
        <f>IF(ISNUMBER(K652),IF(B652="",K652,IF(AND(ISNUMBER(MATCH(B652,'案件'!$A$6:$A$105,0)),OR(D652="材料費",D652="労務費",D652="外注費",D652="経費")),0,K652)),0)</f>
        <v/>
      </c>
    </row>
    <row r="653" ht="16" customHeight="1">
      <c r="A653" s="35" t="n"/>
      <c r="B653" s="36" t="n"/>
      <c r="C653" s="37">
        <f>IF(B653="","",IFERROR(INDEX('案件'!$B$6:$B$105,MATCH(B653,'案件'!$A$6:$A$105,0))&amp;"","（案件シートに無い番号）"))</f>
        <v/>
      </c>
      <c r="D653" s="36" t="n"/>
      <c r="E653" s="38" t="n"/>
      <c r="F653" s="39" t="n"/>
      <c r="G653" s="36" t="n"/>
      <c r="H653" s="40" t="n"/>
      <c r="I653" s="40" t="n"/>
      <c r="J653" s="41">
        <f>IF(ISNUMBER(H653),H653,IF(AND(D653="労務費",TRIM(E653)&lt;&gt;""),IFERROR(INDEX('設定'!$G$12:$G$31,MATCH(TRIM(E653),'設定'!$J$12:$J$31,0)),""),""))</f>
        <v/>
      </c>
      <c r="K653" s="30">
        <f>IF(AND(ISNUMBER(F653),ISNUMBER(J653)),ROUND(F653*J653,0),IF(ISNUMBER(I653),I653,""))</f>
        <v/>
      </c>
      <c r="L653" s="33" t="n"/>
      <c r="M653" s="34">
        <f>IF(COUNTA(A653:B653,D653:I653,L653)=0,"",IF(B653="","案件番号がありません",IF(ISNA(MATCH(B653,'案件'!$A$6:$A$105,0)),"案件シートに無い番号です",IF(NOT(OR(D653="材料費",D653="労務費",D653="外注費",D653="経費")),"費目を4つから選んでください",IF(K653="",IF(AND(ISNUMBER(F653),NOT(ISNUMBER(J653))),IF(D653="労務費","単価がありません（設定の作業者名と同じ書き方に）","単価がありません"),IF(AND(ISNUMBER(J653),NOT(ISNUMBER(F653))),"数量がありません","金額がありません")),IF(NOT(ISNUMBER(A653)),"日付がありません（月別集計に入りません）",IF(AND(ISNUMBER(F653),ISNUMBER(J653),ISNUMBER(I653)),"数量×単価を使いました（金額の欄は使っていません）","")))))))</f>
        <v/>
      </c>
      <c r="N653" s="91">
        <f>IF(AND(B653&lt;&gt;"",B653='案件カード'!$C$3),COUNTIF($B$5:B653,'案件カード'!$C$3),"")</f>
        <v/>
      </c>
      <c r="O653" s="91">
        <f>IF(ISNUMBER(K653),IF(B653="",K653,IF(AND(ISNUMBER(MATCH(B653,'案件'!$A$6:$A$105,0)),OR(D653="材料費",D653="労務費",D653="外注費",D653="経費")),0,K653)),0)</f>
        <v/>
      </c>
    </row>
    <row r="654" ht="16" customHeight="1">
      <c r="A654" s="35" t="n"/>
      <c r="B654" s="36" t="n"/>
      <c r="C654" s="37">
        <f>IF(B654="","",IFERROR(INDEX('案件'!$B$6:$B$105,MATCH(B654,'案件'!$A$6:$A$105,0))&amp;"","（案件シートに無い番号）"))</f>
        <v/>
      </c>
      <c r="D654" s="36" t="n"/>
      <c r="E654" s="38" t="n"/>
      <c r="F654" s="39" t="n"/>
      <c r="G654" s="36" t="n"/>
      <c r="H654" s="40" t="n"/>
      <c r="I654" s="40" t="n"/>
      <c r="J654" s="41">
        <f>IF(ISNUMBER(H654),H654,IF(AND(D654="労務費",TRIM(E654)&lt;&gt;""),IFERROR(INDEX('設定'!$G$12:$G$31,MATCH(TRIM(E654),'設定'!$J$12:$J$31,0)),""),""))</f>
        <v/>
      </c>
      <c r="K654" s="30">
        <f>IF(AND(ISNUMBER(F654),ISNUMBER(J654)),ROUND(F654*J654,0),IF(ISNUMBER(I654),I654,""))</f>
        <v/>
      </c>
      <c r="L654" s="33" t="n"/>
      <c r="M654" s="34">
        <f>IF(COUNTA(A654:B654,D654:I654,L654)=0,"",IF(B654="","案件番号がありません",IF(ISNA(MATCH(B654,'案件'!$A$6:$A$105,0)),"案件シートに無い番号です",IF(NOT(OR(D654="材料費",D654="労務費",D654="外注費",D654="経費")),"費目を4つから選んでください",IF(K654="",IF(AND(ISNUMBER(F654),NOT(ISNUMBER(J654))),IF(D654="労務費","単価がありません（設定の作業者名と同じ書き方に）","単価がありません"),IF(AND(ISNUMBER(J654),NOT(ISNUMBER(F654))),"数量がありません","金額がありません")),IF(NOT(ISNUMBER(A654)),"日付がありません（月別集計に入りません）",IF(AND(ISNUMBER(F654),ISNUMBER(J654),ISNUMBER(I654)),"数量×単価を使いました（金額の欄は使っていません）","")))))))</f>
        <v/>
      </c>
      <c r="N654" s="91">
        <f>IF(AND(B654&lt;&gt;"",B654='案件カード'!$C$3),COUNTIF($B$5:B654,'案件カード'!$C$3),"")</f>
        <v/>
      </c>
      <c r="O654" s="91">
        <f>IF(ISNUMBER(K654),IF(B654="",K654,IF(AND(ISNUMBER(MATCH(B654,'案件'!$A$6:$A$105,0)),OR(D654="材料費",D654="労務費",D654="外注費",D654="経費")),0,K654)),0)</f>
        <v/>
      </c>
    </row>
    <row r="655" ht="16" customHeight="1">
      <c r="A655" s="35" t="n"/>
      <c r="B655" s="36" t="n"/>
      <c r="C655" s="37">
        <f>IF(B655="","",IFERROR(INDEX('案件'!$B$6:$B$105,MATCH(B655,'案件'!$A$6:$A$105,0))&amp;"","（案件シートに無い番号）"))</f>
        <v/>
      </c>
      <c r="D655" s="36" t="n"/>
      <c r="E655" s="38" t="n"/>
      <c r="F655" s="39" t="n"/>
      <c r="G655" s="36" t="n"/>
      <c r="H655" s="40" t="n"/>
      <c r="I655" s="40" t="n"/>
      <c r="J655" s="41">
        <f>IF(ISNUMBER(H655),H655,IF(AND(D655="労務費",TRIM(E655)&lt;&gt;""),IFERROR(INDEX('設定'!$G$12:$G$31,MATCH(TRIM(E655),'設定'!$J$12:$J$31,0)),""),""))</f>
        <v/>
      </c>
      <c r="K655" s="30">
        <f>IF(AND(ISNUMBER(F655),ISNUMBER(J655)),ROUND(F655*J655,0),IF(ISNUMBER(I655),I655,""))</f>
        <v/>
      </c>
      <c r="L655" s="33" t="n"/>
      <c r="M655" s="34">
        <f>IF(COUNTA(A655:B655,D655:I655,L655)=0,"",IF(B655="","案件番号がありません",IF(ISNA(MATCH(B655,'案件'!$A$6:$A$105,0)),"案件シートに無い番号です",IF(NOT(OR(D655="材料費",D655="労務費",D655="外注費",D655="経費")),"費目を4つから選んでください",IF(K655="",IF(AND(ISNUMBER(F655),NOT(ISNUMBER(J655))),IF(D655="労務費","単価がありません（設定の作業者名と同じ書き方に）","単価がありません"),IF(AND(ISNUMBER(J655),NOT(ISNUMBER(F655))),"数量がありません","金額がありません")),IF(NOT(ISNUMBER(A655)),"日付がありません（月別集計に入りません）",IF(AND(ISNUMBER(F655),ISNUMBER(J655),ISNUMBER(I655)),"数量×単価を使いました（金額の欄は使っていません）","")))))))</f>
        <v/>
      </c>
      <c r="N655" s="91">
        <f>IF(AND(B655&lt;&gt;"",B655='案件カード'!$C$3),COUNTIF($B$5:B655,'案件カード'!$C$3),"")</f>
        <v/>
      </c>
      <c r="O655" s="91">
        <f>IF(ISNUMBER(K655),IF(B655="",K655,IF(AND(ISNUMBER(MATCH(B655,'案件'!$A$6:$A$105,0)),OR(D655="材料費",D655="労務費",D655="外注費",D655="経費")),0,K655)),0)</f>
        <v/>
      </c>
    </row>
    <row r="656" ht="16" customHeight="1">
      <c r="A656" s="35" t="n"/>
      <c r="B656" s="36" t="n"/>
      <c r="C656" s="37">
        <f>IF(B656="","",IFERROR(INDEX('案件'!$B$6:$B$105,MATCH(B656,'案件'!$A$6:$A$105,0))&amp;"","（案件シートに無い番号）"))</f>
        <v/>
      </c>
      <c r="D656" s="36" t="n"/>
      <c r="E656" s="38" t="n"/>
      <c r="F656" s="39" t="n"/>
      <c r="G656" s="36" t="n"/>
      <c r="H656" s="40" t="n"/>
      <c r="I656" s="40" t="n"/>
      <c r="J656" s="41">
        <f>IF(ISNUMBER(H656),H656,IF(AND(D656="労務費",TRIM(E656)&lt;&gt;""),IFERROR(INDEX('設定'!$G$12:$G$31,MATCH(TRIM(E656),'設定'!$J$12:$J$31,0)),""),""))</f>
        <v/>
      </c>
      <c r="K656" s="30">
        <f>IF(AND(ISNUMBER(F656),ISNUMBER(J656)),ROUND(F656*J656,0),IF(ISNUMBER(I656),I656,""))</f>
        <v/>
      </c>
      <c r="L656" s="33" t="n"/>
      <c r="M656" s="34">
        <f>IF(COUNTA(A656:B656,D656:I656,L656)=0,"",IF(B656="","案件番号がありません",IF(ISNA(MATCH(B656,'案件'!$A$6:$A$105,0)),"案件シートに無い番号です",IF(NOT(OR(D656="材料費",D656="労務費",D656="外注費",D656="経費")),"費目を4つから選んでください",IF(K656="",IF(AND(ISNUMBER(F656),NOT(ISNUMBER(J656))),IF(D656="労務費","単価がありません（設定の作業者名と同じ書き方に）","単価がありません"),IF(AND(ISNUMBER(J656),NOT(ISNUMBER(F656))),"数量がありません","金額がありません")),IF(NOT(ISNUMBER(A656)),"日付がありません（月別集計に入りません）",IF(AND(ISNUMBER(F656),ISNUMBER(J656),ISNUMBER(I656)),"数量×単価を使いました（金額の欄は使っていません）","")))))))</f>
        <v/>
      </c>
      <c r="N656" s="91">
        <f>IF(AND(B656&lt;&gt;"",B656='案件カード'!$C$3),COUNTIF($B$5:B656,'案件カード'!$C$3),"")</f>
        <v/>
      </c>
      <c r="O656" s="91">
        <f>IF(ISNUMBER(K656),IF(B656="",K656,IF(AND(ISNUMBER(MATCH(B656,'案件'!$A$6:$A$105,0)),OR(D656="材料費",D656="労務費",D656="外注費",D656="経費")),0,K656)),0)</f>
        <v/>
      </c>
    </row>
    <row r="657" ht="16" customHeight="1">
      <c r="A657" s="35" t="n"/>
      <c r="B657" s="36" t="n"/>
      <c r="C657" s="37">
        <f>IF(B657="","",IFERROR(INDEX('案件'!$B$6:$B$105,MATCH(B657,'案件'!$A$6:$A$105,0))&amp;"","（案件シートに無い番号）"))</f>
        <v/>
      </c>
      <c r="D657" s="36" t="n"/>
      <c r="E657" s="38" t="n"/>
      <c r="F657" s="39" t="n"/>
      <c r="G657" s="36" t="n"/>
      <c r="H657" s="40" t="n"/>
      <c r="I657" s="40" t="n"/>
      <c r="J657" s="41">
        <f>IF(ISNUMBER(H657),H657,IF(AND(D657="労務費",TRIM(E657)&lt;&gt;""),IFERROR(INDEX('設定'!$G$12:$G$31,MATCH(TRIM(E657),'設定'!$J$12:$J$31,0)),""),""))</f>
        <v/>
      </c>
      <c r="K657" s="30">
        <f>IF(AND(ISNUMBER(F657),ISNUMBER(J657)),ROUND(F657*J657,0),IF(ISNUMBER(I657),I657,""))</f>
        <v/>
      </c>
      <c r="L657" s="33" t="n"/>
      <c r="M657" s="34">
        <f>IF(COUNTA(A657:B657,D657:I657,L657)=0,"",IF(B657="","案件番号がありません",IF(ISNA(MATCH(B657,'案件'!$A$6:$A$105,0)),"案件シートに無い番号です",IF(NOT(OR(D657="材料費",D657="労務費",D657="外注費",D657="経費")),"費目を4つから選んでください",IF(K657="",IF(AND(ISNUMBER(F657),NOT(ISNUMBER(J657))),IF(D657="労務費","単価がありません（設定の作業者名と同じ書き方に）","単価がありません"),IF(AND(ISNUMBER(J657),NOT(ISNUMBER(F657))),"数量がありません","金額がありません")),IF(NOT(ISNUMBER(A657)),"日付がありません（月別集計に入りません）",IF(AND(ISNUMBER(F657),ISNUMBER(J657),ISNUMBER(I657)),"数量×単価を使いました（金額の欄は使っていません）","")))))))</f>
        <v/>
      </c>
      <c r="N657" s="91">
        <f>IF(AND(B657&lt;&gt;"",B657='案件カード'!$C$3),COUNTIF($B$5:B657,'案件カード'!$C$3),"")</f>
        <v/>
      </c>
      <c r="O657" s="91">
        <f>IF(ISNUMBER(K657),IF(B657="",K657,IF(AND(ISNUMBER(MATCH(B657,'案件'!$A$6:$A$105,0)),OR(D657="材料費",D657="労務費",D657="外注費",D657="経費")),0,K657)),0)</f>
        <v/>
      </c>
    </row>
    <row r="658" ht="16" customHeight="1">
      <c r="A658" s="35" t="n"/>
      <c r="B658" s="36" t="n"/>
      <c r="C658" s="37">
        <f>IF(B658="","",IFERROR(INDEX('案件'!$B$6:$B$105,MATCH(B658,'案件'!$A$6:$A$105,0))&amp;"","（案件シートに無い番号）"))</f>
        <v/>
      </c>
      <c r="D658" s="36" t="n"/>
      <c r="E658" s="38" t="n"/>
      <c r="F658" s="39" t="n"/>
      <c r="G658" s="36" t="n"/>
      <c r="H658" s="40" t="n"/>
      <c r="I658" s="40" t="n"/>
      <c r="J658" s="41">
        <f>IF(ISNUMBER(H658),H658,IF(AND(D658="労務費",TRIM(E658)&lt;&gt;""),IFERROR(INDEX('設定'!$G$12:$G$31,MATCH(TRIM(E658),'設定'!$J$12:$J$31,0)),""),""))</f>
        <v/>
      </c>
      <c r="K658" s="30">
        <f>IF(AND(ISNUMBER(F658),ISNUMBER(J658)),ROUND(F658*J658,0),IF(ISNUMBER(I658),I658,""))</f>
        <v/>
      </c>
      <c r="L658" s="33" t="n"/>
      <c r="M658" s="34">
        <f>IF(COUNTA(A658:B658,D658:I658,L658)=0,"",IF(B658="","案件番号がありません",IF(ISNA(MATCH(B658,'案件'!$A$6:$A$105,0)),"案件シートに無い番号です",IF(NOT(OR(D658="材料費",D658="労務費",D658="外注費",D658="経費")),"費目を4つから選んでください",IF(K658="",IF(AND(ISNUMBER(F658),NOT(ISNUMBER(J658))),IF(D658="労務費","単価がありません（設定の作業者名と同じ書き方に）","単価がありません"),IF(AND(ISNUMBER(J658),NOT(ISNUMBER(F658))),"数量がありません","金額がありません")),IF(NOT(ISNUMBER(A658)),"日付がありません（月別集計に入りません）",IF(AND(ISNUMBER(F658),ISNUMBER(J658),ISNUMBER(I658)),"数量×単価を使いました（金額の欄は使っていません）","")))))))</f>
        <v/>
      </c>
      <c r="N658" s="91">
        <f>IF(AND(B658&lt;&gt;"",B658='案件カード'!$C$3),COUNTIF($B$5:B658,'案件カード'!$C$3),"")</f>
        <v/>
      </c>
      <c r="O658" s="91">
        <f>IF(ISNUMBER(K658),IF(B658="",K658,IF(AND(ISNUMBER(MATCH(B658,'案件'!$A$6:$A$105,0)),OR(D658="材料費",D658="労務費",D658="外注費",D658="経費")),0,K658)),0)</f>
        <v/>
      </c>
    </row>
    <row r="659" ht="16" customHeight="1">
      <c r="A659" s="35" t="n"/>
      <c r="B659" s="36" t="n"/>
      <c r="C659" s="37">
        <f>IF(B659="","",IFERROR(INDEX('案件'!$B$6:$B$105,MATCH(B659,'案件'!$A$6:$A$105,0))&amp;"","（案件シートに無い番号）"))</f>
        <v/>
      </c>
      <c r="D659" s="36" t="n"/>
      <c r="E659" s="38" t="n"/>
      <c r="F659" s="39" t="n"/>
      <c r="G659" s="36" t="n"/>
      <c r="H659" s="40" t="n"/>
      <c r="I659" s="40" t="n"/>
      <c r="J659" s="41">
        <f>IF(ISNUMBER(H659),H659,IF(AND(D659="労務費",TRIM(E659)&lt;&gt;""),IFERROR(INDEX('設定'!$G$12:$G$31,MATCH(TRIM(E659),'設定'!$J$12:$J$31,0)),""),""))</f>
        <v/>
      </c>
      <c r="K659" s="30">
        <f>IF(AND(ISNUMBER(F659),ISNUMBER(J659)),ROUND(F659*J659,0),IF(ISNUMBER(I659),I659,""))</f>
        <v/>
      </c>
      <c r="L659" s="33" t="n"/>
      <c r="M659" s="34">
        <f>IF(COUNTA(A659:B659,D659:I659,L659)=0,"",IF(B659="","案件番号がありません",IF(ISNA(MATCH(B659,'案件'!$A$6:$A$105,0)),"案件シートに無い番号です",IF(NOT(OR(D659="材料費",D659="労務費",D659="外注費",D659="経費")),"費目を4つから選んでください",IF(K659="",IF(AND(ISNUMBER(F659),NOT(ISNUMBER(J659))),IF(D659="労務費","単価がありません（設定の作業者名と同じ書き方に）","単価がありません"),IF(AND(ISNUMBER(J659),NOT(ISNUMBER(F659))),"数量がありません","金額がありません")),IF(NOT(ISNUMBER(A659)),"日付がありません（月別集計に入りません）",IF(AND(ISNUMBER(F659),ISNUMBER(J659),ISNUMBER(I659)),"数量×単価を使いました（金額の欄は使っていません）","")))))))</f>
        <v/>
      </c>
      <c r="N659" s="91">
        <f>IF(AND(B659&lt;&gt;"",B659='案件カード'!$C$3),COUNTIF($B$5:B659,'案件カード'!$C$3),"")</f>
        <v/>
      </c>
      <c r="O659" s="91">
        <f>IF(ISNUMBER(K659),IF(B659="",K659,IF(AND(ISNUMBER(MATCH(B659,'案件'!$A$6:$A$105,0)),OR(D659="材料費",D659="労務費",D659="外注費",D659="経費")),0,K659)),0)</f>
        <v/>
      </c>
    </row>
    <row r="660" ht="16" customHeight="1">
      <c r="A660" s="35" t="n"/>
      <c r="B660" s="36" t="n"/>
      <c r="C660" s="37">
        <f>IF(B660="","",IFERROR(INDEX('案件'!$B$6:$B$105,MATCH(B660,'案件'!$A$6:$A$105,0))&amp;"","（案件シートに無い番号）"))</f>
        <v/>
      </c>
      <c r="D660" s="36" t="n"/>
      <c r="E660" s="38" t="n"/>
      <c r="F660" s="39" t="n"/>
      <c r="G660" s="36" t="n"/>
      <c r="H660" s="40" t="n"/>
      <c r="I660" s="40" t="n"/>
      <c r="J660" s="41">
        <f>IF(ISNUMBER(H660),H660,IF(AND(D660="労務費",TRIM(E660)&lt;&gt;""),IFERROR(INDEX('設定'!$G$12:$G$31,MATCH(TRIM(E660),'設定'!$J$12:$J$31,0)),""),""))</f>
        <v/>
      </c>
      <c r="K660" s="30">
        <f>IF(AND(ISNUMBER(F660),ISNUMBER(J660)),ROUND(F660*J660,0),IF(ISNUMBER(I660),I660,""))</f>
        <v/>
      </c>
      <c r="L660" s="33" t="n"/>
      <c r="M660" s="34">
        <f>IF(COUNTA(A660:B660,D660:I660,L660)=0,"",IF(B660="","案件番号がありません",IF(ISNA(MATCH(B660,'案件'!$A$6:$A$105,0)),"案件シートに無い番号です",IF(NOT(OR(D660="材料費",D660="労務費",D660="外注費",D660="経費")),"費目を4つから選んでください",IF(K660="",IF(AND(ISNUMBER(F660),NOT(ISNUMBER(J660))),IF(D660="労務費","単価がありません（設定の作業者名と同じ書き方に）","単価がありません"),IF(AND(ISNUMBER(J660),NOT(ISNUMBER(F660))),"数量がありません","金額がありません")),IF(NOT(ISNUMBER(A660)),"日付がありません（月別集計に入りません）",IF(AND(ISNUMBER(F660),ISNUMBER(J660),ISNUMBER(I660)),"数量×単価を使いました（金額の欄は使っていません）","")))))))</f>
        <v/>
      </c>
      <c r="N660" s="91">
        <f>IF(AND(B660&lt;&gt;"",B660='案件カード'!$C$3),COUNTIF($B$5:B660,'案件カード'!$C$3),"")</f>
        <v/>
      </c>
      <c r="O660" s="91">
        <f>IF(ISNUMBER(K660),IF(B660="",K660,IF(AND(ISNUMBER(MATCH(B660,'案件'!$A$6:$A$105,0)),OR(D660="材料費",D660="労務費",D660="外注費",D660="経費")),0,K660)),0)</f>
        <v/>
      </c>
    </row>
    <row r="661" ht="16" customHeight="1">
      <c r="A661" s="35" t="n"/>
      <c r="B661" s="36" t="n"/>
      <c r="C661" s="37">
        <f>IF(B661="","",IFERROR(INDEX('案件'!$B$6:$B$105,MATCH(B661,'案件'!$A$6:$A$105,0))&amp;"","（案件シートに無い番号）"))</f>
        <v/>
      </c>
      <c r="D661" s="36" t="n"/>
      <c r="E661" s="38" t="n"/>
      <c r="F661" s="39" t="n"/>
      <c r="G661" s="36" t="n"/>
      <c r="H661" s="40" t="n"/>
      <c r="I661" s="40" t="n"/>
      <c r="J661" s="41">
        <f>IF(ISNUMBER(H661),H661,IF(AND(D661="労務費",TRIM(E661)&lt;&gt;""),IFERROR(INDEX('設定'!$G$12:$G$31,MATCH(TRIM(E661),'設定'!$J$12:$J$31,0)),""),""))</f>
        <v/>
      </c>
      <c r="K661" s="30">
        <f>IF(AND(ISNUMBER(F661),ISNUMBER(J661)),ROUND(F661*J661,0),IF(ISNUMBER(I661),I661,""))</f>
        <v/>
      </c>
      <c r="L661" s="33" t="n"/>
      <c r="M661" s="34">
        <f>IF(COUNTA(A661:B661,D661:I661,L661)=0,"",IF(B661="","案件番号がありません",IF(ISNA(MATCH(B661,'案件'!$A$6:$A$105,0)),"案件シートに無い番号です",IF(NOT(OR(D661="材料費",D661="労務費",D661="外注費",D661="経費")),"費目を4つから選んでください",IF(K661="",IF(AND(ISNUMBER(F661),NOT(ISNUMBER(J661))),IF(D661="労務費","単価がありません（設定の作業者名と同じ書き方に）","単価がありません"),IF(AND(ISNUMBER(J661),NOT(ISNUMBER(F661))),"数量がありません","金額がありません")),IF(NOT(ISNUMBER(A661)),"日付がありません（月別集計に入りません）",IF(AND(ISNUMBER(F661),ISNUMBER(J661),ISNUMBER(I661)),"数量×単価を使いました（金額の欄は使っていません）","")))))))</f>
        <v/>
      </c>
      <c r="N661" s="91">
        <f>IF(AND(B661&lt;&gt;"",B661='案件カード'!$C$3),COUNTIF($B$5:B661,'案件カード'!$C$3),"")</f>
        <v/>
      </c>
      <c r="O661" s="91">
        <f>IF(ISNUMBER(K661),IF(B661="",K661,IF(AND(ISNUMBER(MATCH(B661,'案件'!$A$6:$A$105,0)),OR(D661="材料費",D661="労務費",D661="外注費",D661="経費")),0,K661)),0)</f>
        <v/>
      </c>
    </row>
    <row r="662" ht="16" customHeight="1">
      <c r="A662" s="35" t="n"/>
      <c r="B662" s="36" t="n"/>
      <c r="C662" s="37">
        <f>IF(B662="","",IFERROR(INDEX('案件'!$B$6:$B$105,MATCH(B662,'案件'!$A$6:$A$105,0))&amp;"","（案件シートに無い番号）"))</f>
        <v/>
      </c>
      <c r="D662" s="36" t="n"/>
      <c r="E662" s="38" t="n"/>
      <c r="F662" s="39" t="n"/>
      <c r="G662" s="36" t="n"/>
      <c r="H662" s="40" t="n"/>
      <c r="I662" s="40" t="n"/>
      <c r="J662" s="41">
        <f>IF(ISNUMBER(H662),H662,IF(AND(D662="労務費",TRIM(E662)&lt;&gt;""),IFERROR(INDEX('設定'!$G$12:$G$31,MATCH(TRIM(E662),'設定'!$J$12:$J$31,0)),""),""))</f>
        <v/>
      </c>
      <c r="K662" s="30">
        <f>IF(AND(ISNUMBER(F662),ISNUMBER(J662)),ROUND(F662*J662,0),IF(ISNUMBER(I662),I662,""))</f>
        <v/>
      </c>
      <c r="L662" s="33" t="n"/>
      <c r="M662" s="34">
        <f>IF(COUNTA(A662:B662,D662:I662,L662)=0,"",IF(B662="","案件番号がありません",IF(ISNA(MATCH(B662,'案件'!$A$6:$A$105,0)),"案件シートに無い番号です",IF(NOT(OR(D662="材料費",D662="労務費",D662="外注費",D662="経費")),"費目を4つから選んでください",IF(K662="",IF(AND(ISNUMBER(F662),NOT(ISNUMBER(J662))),IF(D662="労務費","単価がありません（設定の作業者名と同じ書き方に）","単価がありません"),IF(AND(ISNUMBER(J662),NOT(ISNUMBER(F662))),"数量がありません","金額がありません")),IF(NOT(ISNUMBER(A662)),"日付がありません（月別集計に入りません）",IF(AND(ISNUMBER(F662),ISNUMBER(J662),ISNUMBER(I662)),"数量×単価を使いました（金額の欄は使っていません）","")))))))</f>
        <v/>
      </c>
      <c r="N662" s="91">
        <f>IF(AND(B662&lt;&gt;"",B662='案件カード'!$C$3),COUNTIF($B$5:B662,'案件カード'!$C$3),"")</f>
        <v/>
      </c>
      <c r="O662" s="91">
        <f>IF(ISNUMBER(K662),IF(B662="",K662,IF(AND(ISNUMBER(MATCH(B662,'案件'!$A$6:$A$105,0)),OR(D662="材料費",D662="労務費",D662="外注費",D662="経費")),0,K662)),0)</f>
        <v/>
      </c>
    </row>
    <row r="663" ht="16" customHeight="1">
      <c r="A663" s="35" t="n"/>
      <c r="B663" s="36" t="n"/>
      <c r="C663" s="37">
        <f>IF(B663="","",IFERROR(INDEX('案件'!$B$6:$B$105,MATCH(B663,'案件'!$A$6:$A$105,0))&amp;"","（案件シートに無い番号）"))</f>
        <v/>
      </c>
      <c r="D663" s="36" t="n"/>
      <c r="E663" s="38" t="n"/>
      <c r="F663" s="39" t="n"/>
      <c r="G663" s="36" t="n"/>
      <c r="H663" s="40" t="n"/>
      <c r="I663" s="40" t="n"/>
      <c r="J663" s="41">
        <f>IF(ISNUMBER(H663),H663,IF(AND(D663="労務費",TRIM(E663)&lt;&gt;""),IFERROR(INDEX('設定'!$G$12:$G$31,MATCH(TRIM(E663),'設定'!$J$12:$J$31,0)),""),""))</f>
        <v/>
      </c>
      <c r="K663" s="30">
        <f>IF(AND(ISNUMBER(F663),ISNUMBER(J663)),ROUND(F663*J663,0),IF(ISNUMBER(I663),I663,""))</f>
        <v/>
      </c>
      <c r="L663" s="33" t="n"/>
      <c r="M663" s="34">
        <f>IF(COUNTA(A663:B663,D663:I663,L663)=0,"",IF(B663="","案件番号がありません",IF(ISNA(MATCH(B663,'案件'!$A$6:$A$105,0)),"案件シートに無い番号です",IF(NOT(OR(D663="材料費",D663="労務費",D663="外注費",D663="経費")),"費目を4つから選んでください",IF(K663="",IF(AND(ISNUMBER(F663),NOT(ISNUMBER(J663))),IF(D663="労務費","単価がありません（設定の作業者名と同じ書き方に）","単価がありません"),IF(AND(ISNUMBER(J663),NOT(ISNUMBER(F663))),"数量がありません","金額がありません")),IF(NOT(ISNUMBER(A663)),"日付がありません（月別集計に入りません）",IF(AND(ISNUMBER(F663),ISNUMBER(J663),ISNUMBER(I663)),"数量×単価を使いました（金額の欄は使っていません）","")))))))</f>
        <v/>
      </c>
      <c r="N663" s="91">
        <f>IF(AND(B663&lt;&gt;"",B663='案件カード'!$C$3),COUNTIF($B$5:B663,'案件カード'!$C$3),"")</f>
        <v/>
      </c>
      <c r="O663" s="91">
        <f>IF(ISNUMBER(K663),IF(B663="",K663,IF(AND(ISNUMBER(MATCH(B663,'案件'!$A$6:$A$105,0)),OR(D663="材料費",D663="労務費",D663="外注費",D663="経費")),0,K663)),0)</f>
        <v/>
      </c>
    </row>
    <row r="664" ht="16" customHeight="1">
      <c r="A664" s="35" t="n"/>
      <c r="B664" s="36" t="n"/>
      <c r="C664" s="37">
        <f>IF(B664="","",IFERROR(INDEX('案件'!$B$6:$B$105,MATCH(B664,'案件'!$A$6:$A$105,0))&amp;"","（案件シートに無い番号）"))</f>
        <v/>
      </c>
      <c r="D664" s="36" t="n"/>
      <c r="E664" s="38" t="n"/>
      <c r="F664" s="39" t="n"/>
      <c r="G664" s="36" t="n"/>
      <c r="H664" s="40" t="n"/>
      <c r="I664" s="40" t="n"/>
      <c r="J664" s="41">
        <f>IF(ISNUMBER(H664),H664,IF(AND(D664="労務費",TRIM(E664)&lt;&gt;""),IFERROR(INDEX('設定'!$G$12:$G$31,MATCH(TRIM(E664),'設定'!$J$12:$J$31,0)),""),""))</f>
        <v/>
      </c>
      <c r="K664" s="30">
        <f>IF(AND(ISNUMBER(F664),ISNUMBER(J664)),ROUND(F664*J664,0),IF(ISNUMBER(I664),I664,""))</f>
        <v/>
      </c>
      <c r="L664" s="33" t="n"/>
      <c r="M664" s="34">
        <f>IF(COUNTA(A664:B664,D664:I664,L664)=0,"",IF(B664="","案件番号がありません",IF(ISNA(MATCH(B664,'案件'!$A$6:$A$105,0)),"案件シートに無い番号です",IF(NOT(OR(D664="材料費",D664="労務費",D664="外注費",D664="経費")),"費目を4つから選んでください",IF(K664="",IF(AND(ISNUMBER(F664),NOT(ISNUMBER(J664))),IF(D664="労務費","単価がありません（設定の作業者名と同じ書き方に）","単価がありません"),IF(AND(ISNUMBER(J664),NOT(ISNUMBER(F664))),"数量がありません","金額がありません")),IF(NOT(ISNUMBER(A664)),"日付がありません（月別集計に入りません）",IF(AND(ISNUMBER(F664),ISNUMBER(J664),ISNUMBER(I664)),"数量×単価を使いました（金額の欄は使っていません）","")))))))</f>
        <v/>
      </c>
      <c r="N664" s="91">
        <f>IF(AND(B664&lt;&gt;"",B664='案件カード'!$C$3),COUNTIF($B$5:B664,'案件カード'!$C$3),"")</f>
        <v/>
      </c>
      <c r="O664" s="91">
        <f>IF(ISNUMBER(K664),IF(B664="",K664,IF(AND(ISNUMBER(MATCH(B664,'案件'!$A$6:$A$105,0)),OR(D664="材料費",D664="労務費",D664="外注費",D664="経費")),0,K664)),0)</f>
        <v/>
      </c>
    </row>
    <row r="665" ht="16" customHeight="1">
      <c r="A665" s="35" t="n"/>
      <c r="B665" s="36" t="n"/>
      <c r="C665" s="37">
        <f>IF(B665="","",IFERROR(INDEX('案件'!$B$6:$B$105,MATCH(B665,'案件'!$A$6:$A$105,0))&amp;"","（案件シートに無い番号）"))</f>
        <v/>
      </c>
      <c r="D665" s="36" t="n"/>
      <c r="E665" s="38" t="n"/>
      <c r="F665" s="39" t="n"/>
      <c r="G665" s="36" t="n"/>
      <c r="H665" s="40" t="n"/>
      <c r="I665" s="40" t="n"/>
      <c r="J665" s="41">
        <f>IF(ISNUMBER(H665),H665,IF(AND(D665="労務費",TRIM(E665)&lt;&gt;""),IFERROR(INDEX('設定'!$G$12:$G$31,MATCH(TRIM(E665),'設定'!$J$12:$J$31,0)),""),""))</f>
        <v/>
      </c>
      <c r="K665" s="30">
        <f>IF(AND(ISNUMBER(F665),ISNUMBER(J665)),ROUND(F665*J665,0),IF(ISNUMBER(I665),I665,""))</f>
        <v/>
      </c>
      <c r="L665" s="33" t="n"/>
      <c r="M665" s="34">
        <f>IF(COUNTA(A665:B665,D665:I665,L665)=0,"",IF(B665="","案件番号がありません",IF(ISNA(MATCH(B665,'案件'!$A$6:$A$105,0)),"案件シートに無い番号です",IF(NOT(OR(D665="材料費",D665="労務費",D665="外注費",D665="経費")),"費目を4つから選んでください",IF(K665="",IF(AND(ISNUMBER(F665),NOT(ISNUMBER(J665))),IF(D665="労務費","単価がありません（設定の作業者名と同じ書き方に）","単価がありません"),IF(AND(ISNUMBER(J665),NOT(ISNUMBER(F665))),"数量がありません","金額がありません")),IF(NOT(ISNUMBER(A665)),"日付がありません（月別集計に入りません）",IF(AND(ISNUMBER(F665),ISNUMBER(J665),ISNUMBER(I665)),"数量×単価を使いました（金額の欄は使っていません）","")))))))</f>
        <v/>
      </c>
      <c r="N665" s="91">
        <f>IF(AND(B665&lt;&gt;"",B665='案件カード'!$C$3),COUNTIF($B$5:B665,'案件カード'!$C$3),"")</f>
        <v/>
      </c>
      <c r="O665" s="91">
        <f>IF(ISNUMBER(K665),IF(B665="",K665,IF(AND(ISNUMBER(MATCH(B665,'案件'!$A$6:$A$105,0)),OR(D665="材料費",D665="労務費",D665="外注費",D665="経費")),0,K665)),0)</f>
        <v/>
      </c>
    </row>
    <row r="666" ht="16" customHeight="1">
      <c r="A666" s="35" t="n"/>
      <c r="B666" s="36" t="n"/>
      <c r="C666" s="37">
        <f>IF(B666="","",IFERROR(INDEX('案件'!$B$6:$B$105,MATCH(B666,'案件'!$A$6:$A$105,0))&amp;"","（案件シートに無い番号）"))</f>
        <v/>
      </c>
      <c r="D666" s="36" t="n"/>
      <c r="E666" s="38" t="n"/>
      <c r="F666" s="39" t="n"/>
      <c r="G666" s="36" t="n"/>
      <c r="H666" s="40" t="n"/>
      <c r="I666" s="40" t="n"/>
      <c r="J666" s="41">
        <f>IF(ISNUMBER(H666),H666,IF(AND(D666="労務費",TRIM(E666)&lt;&gt;""),IFERROR(INDEX('設定'!$G$12:$G$31,MATCH(TRIM(E666),'設定'!$J$12:$J$31,0)),""),""))</f>
        <v/>
      </c>
      <c r="K666" s="30">
        <f>IF(AND(ISNUMBER(F666),ISNUMBER(J666)),ROUND(F666*J666,0),IF(ISNUMBER(I666),I666,""))</f>
        <v/>
      </c>
      <c r="L666" s="33" t="n"/>
      <c r="M666" s="34">
        <f>IF(COUNTA(A666:B666,D666:I666,L666)=0,"",IF(B666="","案件番号がありません",IF(ISNA(MATCH(B666,'案件'!$A$6:$A$105,0)),"案件シートに無い番号です",IF(NOT(OR(D666="材料費",D666="労務費",D666="外注費",D666="経費")),"費目を4つから選んでください",IF(K666="",IF(AND(ISNUMBER(F666),NOT(ISNUMBER(J666))),IF(D666="労務費","単価がありません（設定の作業者名と同じ書き方に）","単価がありません"),IF(AND(ISNUMBER(J666),NOT(ISNUMBER(F666))),"数量がありません","金額がありません")),IF(NOT(ISNUMBER(A666)),"日付がありません（月別集計に入りません）",IF(AND(ISNUMBER(F666),ISNUMBER(J666),ISNUMBER(I666)),"数量×単価を使いました（金額の欄は使っていません）","")))))))</f>
        <v/>
      </c>
      <c r="N666" s="91">
        <f>IF(AND(B666&lt;&gt;"",B666='案件カード'!$C$3),COUNTIF($B$5:B666,'案件カード'!$C$3),"")</f>
        <v/>
      </c>
      <c r="O666" s="91">
        <f>IF(ISNUMBER(K666),IF(B666="",K666,IF(AND(ISNUMBER(MATCH(B666,'案件'!$A$6:$A$105,0)),OR(D666="材料費",D666="労務費",D666="外注費",D666="経費")),0,K666)),0)</f>
        <v/>
      </c>
    </row>
    <row r="667" ht="16" customHeight="1">
      <c r="A667" s="35" t="n"/>
      <c r="B667" s="36" t="n"/>
      <c r="C667" s="37">
        <f>IF(B667="","",IFERROR(INDEX('案件'!$B$6:$B$105,MATCH(B667,'案件'!$A$6:$A$105,0))&amp;"","（案件シートに無い番号）"))</f>
        <v/>
      </c>
      <c r="D667" s="36" t="n"/>
      <c r="E667" s="38" t="n"/>
      <c r="F667" s="39" t="n"/>
      <c r="G667" s="36" t="n"/>
      <c r="H667" s="40" t="n"/>
      <c r="I667" s="40" t="n"/>
      <c r="J667" s="41">
        <f>IF(ISNUMBER(H667),H667,IF(AND(D667="労務費",TRIM(E667)&lt;&gt;""),IFERROR(INDEX('設定'!$G$12:$G$31,MATCH(TRIM(E667),'設定'!$J$12:$J$31,0)),""),""))</f>
        <v/>
      </c>
      <c r="K667" s="30">
        <f>IF(AND(ISNUMBER(F667),ISNUMBER(J667)),ROUND(F667*J667,0),IF(ISNUMBER(I667),I667,""))</f>
        <v/>
      </c>
      <c r="L667" s="33" t="n"/>
      <c r="M667" s="34">
        <f>IF(COUNTA(A667:B667,D667:I667,L667)=0,"",IF(B667="","案件番号がありません",IF(ISNA(MATCH(B667,'案件'!$A$6:$A$105,0)),"案件シートに無い番号です",IF(NOT(OR(D667="材料費",D667="労務費",D667="外注費",D667="経費")),"費目を4つから選んでください",IF(K667="",IF(AND(ISNUMBER(F667),NOT(ISNUMBER(J667))),IF(D667="労務費","単価がありません（設定の作業者名と同じ書き方に）","単価がありません"),IF(AND(ISNUMBER(J667),NOT(ISNUMBER(F667))),"数量がありません","金額がありません")),IF(NOT(ISNUMBER(A667)),"日付がありません（月別集計に入りません）",IF(AND(ISNUMBER(F667),ISNUMBER(J667),ISNUMBER(I667)),"数量×単価を使いました（金額の欄は使っていません）","")))))))</f>
        <v/>
      </c>
      <c r="N667" s="91">
        <f>IF(AND(B667&lt;&gt;"",B667='案件カード'!$C$3),COUNTIF($B$5:B667,'案件カード'!$C$3),"")</f>
        <v/>
      </c>
      <c r="O667" s="91">
        <f>IF(ISNUMBER(K667),IF(B667="",K667,IF(AND(ISNUMBER(MATCH(B667,'案件'!$A$6:$A$105,0)),OR(D667="材料費",D667="労務費",D667="外注費",D667="経費")),0,K667)),0)</f>
        <v/>
      </c>
    </row>
    <row r="668" ht="16" customHeight="1">
      <c r="A668" s="35" t="n"/>
      <c r="B668" s="36" t="n"/>
      <c r="C668" s="37">
        <f>IF(B668="","",IFERROR(INDEX('案件'!$B$6:$B$105,MATCH(B668,'案件'!$A$6:$A$105,0))&amp;"","（案件シートに無い番号）"))</f>
        <v/>
      </c>
      <c r="D668" s="36" t="n"/>
      <c r="E668" s="38" t="n"/>
      <c r="F668" s="39" t="n"/>
      <c r="G668" s="36" t="n"/>
      <c r="H668" s="40" t="n"/>
      <c r="I668" s="40" t="n"/>
      <c r="J668" s="41">
        <f>IF(ISNUMBER(H668),H668,IF(AND(D668="労務費",TRIM(E668)&lt;&gt;""),IFERROR(INDEX('設定'!$G$12:$G$31,MATCH(TRIM(E668),'設定'!$J$12:$J$31,0)),""),""))</f>
        <v/>
      </c>
      <c r="K668" s="30">
        <f>IF(AND(ISNUMBER(F668),ISNUMBER(J668)),ROUND(F668*J668,0),IF(ISNUMBER(I668),I668,""))</f>
        <v/>
      </c>
      <c r="L668" s="33" t="n"/>
      <c r="M668" s="34">
        <f>IF(COUNTA(A668:B668,D668:I668,L668)=0,"",IF(B668="","案件番号がありません",IF(ISNA(MATCH(B668,'案件'!$A$6:$A$105,0)),"案件シートに無い番号です",IF(NOT(OR(D668="材料費",D668="労務費",D668="外注費",D668="経費")),"費目を4つから選んでください",IF(K668="",IF(AND(ISNUMBER(F668),NOT(ISNUMBER(J668))),IF(D668="労務費","単価がありません（設定の作業者名と同じ書き方に）","単価がありません"),IF(AND(ISNUMBER(J668),NOT(ISNUMBER(F668))),"数量がありません","金額がありません")),IF(NOT(ISNUMBER(A668)),"日付がありません（月別集計に入りません）",IF(AND(ISNUMBER(F668),ISNUMBER(J668),ISNUMBER(I668)),"数量×単価を使いました（金額の欄は使っていません）","")))))))</f>
        <v/>
      </c>
      <c r="N668" s="91">
        <f>IF(AND(B668&lt;&gt;"",B668='案件カード'!$C$3),COUNTIF($B$5:B668,'案件カード'!$C$3),"")</f>
        <v/>
      </c>
      <c r="O668" s="91">
        <f>IF(ISNUMBER(K668),IF(B668="",K668,IF(AND(ISNUMBER(MATCH(B668,'案件'!$A$6:$A$105,0)),OR(D668="材料費",D668="労務費",D668="外注費",D668="経費")),0,K668)),0)</f>
        <v/>
      </c>
    </row>
    <row r="669" ht="16" customHeight="1">
      <c r="A669" s="35" t="n"/>
      <c r="B669" s="36" t="n"/>
      <c r="C669" s="37">
        <f>IF(B669="","",IFERROR(INDEX('案件'!$B$6:$B$105,MATCH(B669,'案件'!$A$6:$A$105,0))&amp;"","（案件シートに無い番号）"))</f>
        <v/>
      </c>
      <c r="D669" s="36" t="n"/>
      <c r="E669" s="38" t="n"/>
      <c r="F669" s="39" t="n"/>
      <c r="G669" s="36" t="n"/>
      <c r="H669" s="40" t="n"/>
      <c r="I669" s="40" t="n"/>
      <c r="J669" s="41">
        <f>IF(ISNUMBER(H669),H669,IF(AND(D669="労務費",TRIM(E669)&lt;&gt;""),IFERROR(INDEX('設定'!$G$12:$G$31,MATCH(TRIM(E669),'設定'!$J$12:$J$31,0)),""),""))</f>
        <v/>
      </c>
      <c r="K669" s="30">
        <f>IF(AND(ISNUMBER(F669),ISNUMBER(J669)),ROUND(F669*J669,0),IF(ISNUMBER(I669),I669,""))</f>
        <v/>
      </c>
      <c r="L669" s="33" t="n"/>
      <c r="M669" s="34">
        <f>IF(COUNTA(A669:B669,D669:I669,L669)=0,"",IF(B669="","案件番号がありません",IF(ISNA(MATCH(B669,'案件'!$A$6:$A$105,0)),"案件シートに無い番号です",IF(NOT(OR(D669="材料費",D669="労務費",D669="外注費",D669="経費")),"費目を4つから選んでください",IF(K669="",IF(AND(ISNUMBER(F669),NOT(ISNUMBER(J669))),IF(D669="労務費","単価がありません（設定の作業者名と同じ書き方に）","単価がありません"),IF(AND(ISNUMBER(J669),NOT(ISNUMBER(F669))),"数量がありません","金額がありません")),IF(NOT(ISNUMBER(A669)),"日付がありません（月別集計に入りません）",IF(AND(ISNUMBER(F669),ISNUMBER(J669),ISNUMBER(I669)),"数量×単価を使いました（金額の欄は使っていません）","")))))))</f>
        <v/>
      </c>
      <c r="N669" s="91">
        <f>IF(AND(B669&lt;&gt;"",B669='案件カード'!$C$3),COUNTIF($B$5:B669,'案件カード'!$C$3),"")</f>
        <v/>
      </c>
      <c r="O669" s="91">
        <f>IF(ISNUMBER(K669),IF(B669="",K669,IF(AND(ISNUMBER(MATCH(B669,'案件'!$A$6:$A$105,0)),OR(D669="材料費",D669="労務費",D669="外注費",D669="経費")),0,K669)),0)</f>
        <v/>
      </c>
    </row>
    <row r="670" ht="16" customHeight="1">
      <c r="A670" s="35" t="n"/>
      <c r="B670" s="36" t="n"/>
      <c r="C670" s="37">
        <f>IF(B670="","",IFERROR(INDEX('案件'!$B$6:$B$105,MATCH(B670,'案件'!$A$6:$A$105,0))&amp;"","（案件シートに無い番号）"))</f>
        <v/>
      </c>
      <c r="D670" s="36" t="n"/>
      <c r="E670" s="38" t="n"/>
      <c r="F670" s="39" t="n"/>
      <c r="G670" s="36" t="n"/>
      <c r="H670" s="40" t="n"/>
      <c r="I670" s="40" t="n"/>
      <c r="J670" s="41">
        <f>IF(ISNUMBER(H670),H670,IF(AND(D670="労務費",TRIM(E670)&lt;&gt;""),IFERROR(INDEX('設定'!$G$12:$G$31,MATCH(TRIM(E670),'設定'!$J$12:$J$31,0)),""),""))</f>
        <v/>
      </c>
      <c r="K670" s="30">
        <f>IF(AND(ISNUMBER(F670),ISNUMBER(J670)),ROUND(F670*J670,0),IF(ISNUMBER(I670),I670,""))</f>
        <v/>
      </c>
      <c r="L670" s="33" t="n"/>
      <c r="M670" s="34">
        <f>IF(COUNTA(A670:B670,D670:I670,L670)=0,"",IF(B670="","案件番号がありません",IF(ISNA(MATCH(B670,'案件'!$A$6:$A$105,0)),"案件シートに無い番号です",IF(NOT(OR(D670="材料費",D670="労務費",D670="外注費",D670="経費")),"費目を4つから選んでください",IF(K670="",IF(AND(ISNUMBER(F670),NOT(ISNUMBER(J670))),IF(D670="労務費","単価がありません（設定の作業者名と同じ書き方に）","単価がありません"),IF(AND(ISNUMBER(J670),NOT(ISNUMBER(F670))),"数量がありません","金額がありません")),IF(NOT(ISNUMBER(A670)),"日付がありません（月別集計に入りません）",IF(AND(ISNUMBER(F670),ISNUMBER(J670),ISNUMBER(I670)),"数量×単価を使いました（金額の欄は使っていません）","")))))))</f>
        <v/>
      </c>
      <c r="N670" s="91">
        <f>IF(AND(B670&lt;&gt;"",B670='案件カード'!$C$3),COUNTIF($B$5:B670,'案件カード'!$C$3),"")</f>
        <v/>
      </c>
      <c r="O670" s="91">
        <f>IF(ISNUMBER(K670),IF(B670="",K670,IF(AND(ISNUMBER(MATCH(B670,'案件'!$A$6:$A$105,0)),OR(D670="材料費",D670="労務費",D670="外注費",D670="経費")),0,K670)),0)</f>
        <v/>
      </c>
    </row>
    <row r="671" ht="16" customHeight="1">
      <c r="A671" s="35" t="n"/>
      <c r="B671" s="36" t="n"/>
      <c r="C671" s="37">
        <f>IF(B671="","",IFERROR(INDEX('案件'!$B$6:$B$105,MATCH(B671,'案件'!$A$6:$A$105,0))&amp;"","（案件シートに無い番号）"))</f>
        <v/>
      </c>
      <c r="D671" s="36" t="n"/>
      <c r="E671" s="38" t="n"/>
      <c r="F671" s="39" t="n"/>
      <c r="G671" s="36" t="n"/>
      <c r="H671" s="40" t="n"/>
      <c r="I671" s="40" t="n"/>
      <c r="J671" s="41">
        <f>IF(ISNUMBER(H671),H671,IF(AND(D671="労務費",TRIM(E671)&lt;&gt;""),IFERROR(INDEX('設定'!$G$12:$G$31,MATCH(TRIM(E671),'設定'!$J$12:$J$31,0)),""),""))</f>
        <v/>
      </c>
      <c r="K671" s="30">
        <f>IF(AND(ISNUMBER(F671),ISNUMBER(J671)),ROUND(F671*J671,0),IF(ISNUMBER(I671),I671,""))</f>
        <v/>
      </c>
      <c r="L671" s="33" t="n"/>
      <c r="M671" s="34">
        <f>IF(COUNTA(A671:B671,D671:I671,L671)=0,"",IF(B671="","案件番号がありません",IF(ISNA(MATCH(B671,'案件'!$A$6:$A$105,0)),"案件シートに無い番号です",IF(NOT(OR(D671="材料費",D671="労務費",D671="外注費",D671="経費")),"費目を4つから選んでください",IF(K671="",IF(AND(ISNUMBER(F671),NOT(ISNUMBER(J671))),IF(D671="労務費","単価がありません（設定の作業者名と同じ書き方に）","単価がありません"),IF(AND(ISNUMBER(J671),NOT(ISNUMBER(F671))),"数量がありません","金額がありません")),IF(NOT(ISNUMBER(A671)),"日付がありません（月別集計に入りません）",IF(AND(ISNUMBER(F671),ISNUMBER(J671),ISNUMBER(I671)),"数量×単価を使いました（金額の欄は使っていません）","")))))))</f>
        <v/>
      </c>
      <c r="N671" s="91">
        <f>IF(AND(B671&lt;&gt;"",B671='案件カード'!$C$3),COUNTIF($B$5:B671,'案件カード'!$C$3),"")</f>
        <v/>
      </c>
      <c r="O671" s="91">
        <f>IF(ISNUMBER(K671),IF(B671="",K671,IF(AND(ISNUMBER(MATCH(B671,'案件'!$A$6:$A$105,0)),OR(D671="材料費",D671="労務費",D671="外注費",D671="経費")),0,K671)),0)</f>
        <v/>
      </c>
    </row>
    <row r="672" ht="16" customHeight="1">
      <c r="A672" s="35" t="n"/>
      <c r="B672" s="36" t="n"/>
      <c r="C672" s="37">
        <f>IF(B672="","",IFERROR(INDEX('案件'!$B$6:$B$105,MATCH(B672,'案件'!$A$6:$A$105,0))&amp;"","（案件シートに無い番号）"))</f>
        <v/>
      </c>
      <c r="D672" s="36" t="n"/>
      <c r="E672" s="38" t="n"/>
      <c r="F672" s="39" t="n"/>
      <c r="G672" s="36" t="n"/>
      <c r="H672" s="40" t="n"/>
      <c r="I672" s="40" t="n"/>
      <c r="J672" s="41">
        <f>IF(ISNUMBER(H672),H672,IF(AND(D672="労務費",TRIM(E672)&lt;&gt;""),IFERROR(INDEX('設定'!$G$12:$G$31,MATCH(TRIM(E672),'設定'!$J$12:$J$31,0)),""),""))</f>
        <v/>
      </c>
      <c r="K672" s="30">
        <f>IF(AND(ISNUMBER(F672),ISNUMBER(J672)),ROUND(F672*J672,0),IF(ISNUMBER(I672),I672,""))</f>
        <v/>
      </c>
      <c r="L672" s="33" t="n"/>
      <c r="M672" s="34">
        <f>IF(COUNTA(A672:B672,D672:I672,L672)=0,"",IF(B672="","案件番号がありません",IF(ISNA(MATCH(B672,'案件'!$A$6:$A$105,0)),"案件シートに無い番号です",IF(NOT(OR(D672="材料費",D672="労務費",D672="外注費",D672="経費")),"費目を4つから選んでください",IF(K672="",IF(AND(ISNUMBER(F672),NOT(ISNUMBER(J672))),IF(D672="労務費","単価がありません（設定の作業者名と同じ書き方に）","単価がありません"),IF(AND(ISNUMBER(J672),NOT(ISNUMBER(F672))),"数量がありません","金額がありません")),IF(NOT(ISNUMBER(A672)),"日付がありません（月別集計に入りません）",IF(AND(ISNUMBER(F672),ISNUMBER(J672),ISNUMBER(I672)),"数量×単価を使いました（金額の欄は使っていません）","")))))))</f>
        <v/>
      </c>
      <c r="N672" s="91">
        <f>IF(AND(B672&lt;&gt;"",B672='案件カード'!$C$3),COUNTIF($B$5:B672,'案件カード'!$C$3),"")</f>
        <v/>
      </c>
      <c r="O672" s="91">
        <f>IF(ISNUMBER(K672),IF(B672="",K672,IF(AND(ISNUMBER(MATCH(B672,'案件'!$A$6:$A$105,0)),OR(D672="材料費",D672="労務費",D672="外注費",D672="経費")),0,K672)),0)</f>
        <v/>
      </c>
    </row>
    <row r="673" ht="16" customHeight="1">
      <c r="A673" s="35" t="n"/>
      <c r="B673" s="36" t="n"/>
      <c r="C673" s="37">
        <f>IF(B673="","",IFERROR(INDEX('案件'!$B$6:$B$105,MATCH(B673,'案件'!$A$6:$A$105,0))&amp;"","（案件シートに無い番号）"))</f>
        <v/>
      </c>
      <c r="D673" s="36" t="n"/>
      <c r="E673" s="38" t="n"/>
      <c r="F673" s="39" t="n"/>
      <c r="G673" s="36" t="n"/>
      <c r="H673" s="40" t="n"/>
      <c r="I673" s="40" t="n"/>
      <c r="J673" s="41">
        <f>IF(ISNUMBER(H673),H673,IF(AND(D673="労務費",TRIM(E673)&lt;&gt;""),IFERROR(INDEX('設定'!$G$12:$G$31,MATCH(TRIM(E673),'設定'!$J$12:$J$31,0)),""),""))</f>
        <v/>
      </c>
      <c r="K673" s="30">
        <f>IF(AND(ISNUMBER(F673),ISNUMBER(J673)),ROUND(F673*J673,0),IF(ISNUMBER(I673),I673,""))</f>
        <v/>
      </c>
      <c r="L673" s="33" t="n"/>
      <c r="M673" s="34">
        <f>IF(COUNTA(A673:B673,D673:I673,L673)=0,"",IF(B673="","案件番号がありません",IF(ISNA(MATCH(B673,'案件'!$A$6:$A$105,0)),"案件シートに無い番号です",IF(NOT(OR(D673="材料費",D673="労務費",D673="外注費",D673="経費")),"費目を4つから選んでください",IF(K673="",IF(AND(ISNUMBER(F673),NOT(ISNUMBER(J673))),IF(D673="労務費","単価がありません（設定の作業者名と同じ書き方に）","単価がありません"),IF(AND(ISNUMBER(J673),NOT(ISNUMBER(F673))),"数量がありません","金額がありません")),IF(NOT(ISNUMBER(A673)),"日付がありません（月別集計に入りません）",IF(AND(ISNUMBER(F673),ISNUMBER(J673),ISNUMBER(I673)),"数量×単価を使いました（金額の欄は使っていません）","")))))))</f>
        <v/>
      </c>
      <c r="N673" s="91">
        <f>IF(AND(B673&lt;&gt;"",B673='案件カード'!$C$3),COUNTIF($B$5:B673,'案件カード'!$C$3),"")</f>
        <v/>
      </c>
      <c r="O673" s="91">
        <f>IF(ISNUMBER(K673),IF(B673="",K673,IF(AND(ISNUMBER(MATCH(B673,'案件'!$A$6:$A$105,0)),OR(D673="材料費",D673="労務費",D673="外注費",D673="経費")),0,K673)),0)</f>
        <v/>
      </c>
    </row>
    <row r="674" ht="16" customHeight="1">
      <c r="A674" s="35" t="n"/>
      <c r="B674" s="36" t="n"/>
      <c r="C674" s="37">
        <f>IF(B674="","",IFERROR(INDEX('案件'!$B$6:$B$105,MATCH(B674,'案件'!$A$6:$A$105,0))&amp;"","（案件シートに無い番号）"))</f>
        <v/>
      </c>
      <c r="D674" s="36" t="n"/>
      <c r="E674" s="38" t="n"/>
      <c r="F674" s="39" t="n"/>
      <c r="G674" s="36" t="n"/>
      <c r="H674" s="40" t="n"/>
      <c r="I674" s="40" t="n"/>
      <c r="J674" s="41">
        <f>IF(ISNUMBER(H674),H674,IF(AND(D674="労務費",TRIM(E674)&lt;&gt;""),IFERROR(INDEX('設定'!$G$12:$G$31,MATCH(TRIM(E674),'設定'!$J$12:$J$31,0)),""),""))</f>
        <v/>
      </c>
      <c r="K674" s="30">
        <f>IF(AND(ISNUMBER(F674),ISNUMBER(J674)),ROUND(F674*J674,0),IF(ISNUMBER(I674),I674,""))</f>
        <v/>
      </c>
      <c r="L674" s="33" t="n"/>
      <c r="M674" s="34">
        <f>IF(COUNTA(A674:B674,D674:I674,L674)=0,"",IF(B674="","案件番号がありません",IF(ISNA(MATCH(B674,'案件'!$A$6:$A$105,0)),"案件シートに無い番号です",IF(NOT(OR(D674="材料費",D674="労務費",D674="外注費",D674="経費")),"費目を4つから選んでください",IF(K674="",IF(AND(ISNUMBER(F674),NOT(ISNUMBER(J674))),IF(D674="労務費","単価がありません（設定の作業者名と同じ書き方に）","単価がありません"),IF(AND(ISNUMBER(J674),NOT(ISNUMBER(F674))),"数量がありません","金額がありません")),IF(NOT(ISNUMBER(A674)),"日付がありません（月別集計に入りません）",IF(AND(ISNUMBER(F674),ISNUMBER(J674),ISNUMBER(I674)),"数量×単価を使いました（金額の欄は使っていません）","")))))))</f>
        <v/>
      </c>
      <c r="N674" s="91">
        <f>IF(AND(B674&lt;&gt;"",B674='案件カード'!$C$3),COUNTIF($B$5:B674,'案件カード'!$C$3),"")</f>
        <v/>
      </c>
      <c r="O674" s="91">
        <f>IF(ISNUMBER(K674),IF(B674="",K674,IF(AND(ISNUMBER(MATCH(B674,'案件'!$A$6:$A$105,0)),OR(D674="材料費",D674="労務費",D674="外注費",D674="経費")),0,K674)),0)</f>
        <v/>
      </c>
    </row>
    <row r="675" ht="16" customHeight="1">
      <c r="A675" s="35" t="n"/>
      <c r="B675" s="36" t="n"/>
      <c r="C675" s="37">
        <f>IF(B675="","",IFERROR(INDEX('案件'!$B$6:$B$105,MATCH(B675,'案件'!$A$6:$A$105,0))&amp;"","（案件シートに無い番号）"))</f>
        <v/>
      </c>
      <c r="D675" s="36" t="n"/>
      <c r="E675" s="38" t="n"/>
      <c r="F675" s="39" t="n"/>
      <c r="G675" s="36" t="n"/>
      <c r="H675" s="40" t="n"/>
      <c r="I675" s="40" t="n"/>
      <c r="J675" s="41">
        <f>IF(ISNUMBER(H675),H675,IF(AND(D675="労務費",TRIM(E675)&lt;&gt;""),IFERROR(INDEX('設定'!$G$12:$G$31,MATCH(TRIM(E675),'設定'!$J$12:$J$31,0)),""),""))</f>
        <v/>
      </c>
      <c r="K675" s="30">
        <f>IF(AND(ISNUMBER(F675),ISNUMBER(J675)),ROUND(F675*J675,0),IF(ISNUMBER(I675),I675,""))</f>
        <v/>
      </c>
      <c r="L675" s="33" t="n"/>
      <c r="M675" s="34">
        <f>IF(COUNTA(A675:B675,D675:I675,L675)=0,"",IF(B675="","案件番号がありません",IF(ISNA(MATCH(B675,'案件'!$A$6:$A$105,0)),"案件シートに無い番号です",IF(NOT(OR(D675="材料費",D675="労務費",D675="外注費",D675="経費")),"費目を4つから選んでください",IF(K675="",IF(AND(ISNUMBER(F675),NOT(ISNUMBER(J675))),IF(D675="労務費","単価がありません（設定の作業者名と同じ書き方に）","単価がありません"),IF(AND(ISNUMBER(J675),NOT(ISNUMBER(F675))),"数量がありません","金額がありません")),IF(NOT(ISNUMBER(A675)),"日付がありません（月別集計に入りません）",IF(AND(ISNUMBER(F675),ISNUMBER(J675),ISNUMBER(I675)),"数量×単価を使いました（金額の欄は使っていません）","")))))))</f>
        <v/>
      </c>
      <c r="N675" s="91">
        <f>IF(AND(B675&lt;&gt;"",B675='案件カード'!$C$3),COUNTIF($B$5:B675,'案件カード'!$C$3),"")</f>
        <v/>
      </c>
      <c r="O675" s="91">
        <f>IF(ISNUMBER(K675),IF(B675="",K675,IF(AND(ISNUMBER(MATCH(B675,'案件'!$A$6:$A$105,0)),OR(D675="材料費",D675="労務費",D675="外注費",D675="経費")),0,K675)),0)</f>
        <v/>
      </c>
    </row>
    <row r="676" ht="16" customHeight="1">
      <c r="A676" s="35" t="n"/>
      <c r="B676" s="36" t="n"/>
      <c r="C676" s="37">
        <f>IF(B676="","",IFERROR(INDEX('案件'!$B$6:$B$105,MATCH(B676,'案件'!$A$6:$A$105,0))&amp;"","（案件シートに無い番号）"))</f>
        <v/>
      </c>
      <c r="D676" s="36" t="n"/>
      <c r="E676" s="38" t="n"/>
      <c r="F676" s="39" t="n"/>
      <c r="G676" s="36" t="n"/>
      <c r="H676" s="40" t="n"/>
      <c r="I676" s="40" t="n"/>
      <c r="J676" s="41">
        <f>IF(ISNUMBER(H676),H676,IF(AND(D676="労務費",TRIM(E676)&lt;&gt;""),IFERROR(INDEX('設定'!$G$12:$G$31,MATCH(TRIM(E676),'設定'!$J$12:$J$31,0)),""),""))</f>
        <v/>
      </c>
      <c r="K676" s="30">
        <f>IF(AND(ISNUMBER(F676),ISNUMBER(J676)),ROUND(F676*J676,0),IF(ISNUMBER(I676),I676,""))</f>
        <v/>
      </c>
      <c r="L676" s="33" t="n"/>
      <c r="M676" s="34">
        <f>IF(COUNTA(A676:B676,D676:I676,L676)=0,"",IF(B676="","案件番号がありません",IF(ISNA(MATCH(B676,'案件'!$A$6:$A$105,0)),"案件シートに無い番号です",IF(NOT(OR(D676="材料費",D676="労務費",D676="外注費",D676="経費")),"費目を4つから選んでください",IF(K676="",IF(AND(ISNUMBER(F676),NOT(ISNUMBER(J676))),IF(D676="労務費","単価がありません（設定の作業者名と同じ書き方に）","単価がありません"),IF(AND(ISNUMBER(J676),NOT(ISNUMBER(F676))),"数量がありません","金額がありません")),IF(NOT(ISNUMBER(A676)),"日付がありません（月別集計に入りません）",IF(AND(ISNUMBER(F676),ISNUMBER(J676),ISNUMBER(I676)),"数量×単価を使いました（金額の欄は使っていません）","")))))))</f>
        <v/>
      </c>
      <c r="N676" s="91">
        <f>IF(AND(B676&lt;&gt;"",B676='案件カード'!$C$3),COUNTIF($B$5:B676,'案件カード'!$C$3),"")</f>
        <v/>
      </c>
      <c r="O676" s="91">
        <f>IF(ISNUMBER(K676),IF(B676="",K676,IF(AND(ISNUMBER(MATCH(B676,'案件'!$A$6:$A$105,0)),OR(D676="材料費",D676="労務費",D676="外注費",D676="経費")),0,K676)),0)</f>
        <v/>
      </c>
    </row>
    <row r="677" ht="16" customHeight="1">
      <c r="A677" s="35" t="n"/>
      <c r="B677" s="36" t="n"/>
      <c r="C677" s="37">
        <f>IF(B677="","",IFERROR(INDEX('案件'!$B$6:$B$105,MATCH(B677,'案件'!$A$6:$A$105,0))&amp;"","（案件シートに無い番号）"))</f>
        <v/>
      </c>
      <c r="D677" s="36" t="n"/>
      <c r="E677" s="38" t="n"/>
      <c r="F677" s="39" t="n"/>
      <c r="G677" s="36" t="n"/>
      <c r="H677" s="40" t="n"/>
      <c r="I677" s="40" t="n"/>
      <c r="J677" s="41">
        <f>IF(ISNUMBER(H677),H677,IF(AND(D677="労務費",TRIM(E677)&lt;&gt;""),IFERROR(INDEX('設定'!$G$12:$G$31,MATCH(TRIM(E677),'設定'!$J$12:$J$31,0)),""),""))</f>
        <v/>
      </c>
      <c r="K677" s="30">
        <f>IF(AND(ISNUMBER(F677),ISNUMBER(J677)),ROUND(F677*J677,0),IF(ISNUMBER(I677),I677,""))</f>
        <v/>
      </c>
      <c r="L677" s="33" t="n"/>
      <c r="M677" s="34">
        <f>IF(COUNTA(A677:B677,D677:I677,L677)=0,"",IF(B677="","案件番号がありません",IF(ISNA(MATCH(B677,'案件'!$A$6:$A$105,0)),"案件シートに無い番号です",IF(NOT(OR(D677="材料費",D677="労務費",D677="外注費",D677="経費")),"費目を4つから選んでください",IF(K677="",IF(AND(ISNUMBER(F677),NOT(ISNUMBER(J677))),IF(D677="労務費","単価がありません（設定の作業者名と同じ書き方に）","単価がありません"),IF(AND(ISNUMBER(J677),NOT(ISNUMBER(F677))),"数量がありません","金額がありません")),IF(NOT(ISNUMBER(A677)),"日付がありません（月別集計に入りません）",IF(AND(ISNUMBER(F677),ISNUMBER(J677),ISNUMBER(I677)),"数量×単価を使いました（金額の欄は使っていません）","")))))))</f>
        <v/>
      </c>
      <c r="N677" s="91">
        <f>IF(AND(B677&lt;&gt;"",B677='案件カード'!$C$3),COUNTIF($B$5:B677,'案件カード'!$C$3),"")</f>
        <v/>
      </c>
      <c r="O677" s="91">
        <f>IF(ISNUMBER(K677),IF(B677="",K677,IF(AND(ISNUMBER(MATCH(B677,'案件'!$A$6:$A$105,0)),OR(D677="材料費",D677="労務費",D677="外注費",D677="経費")),0,K677)),0)</f>
        <v/>
      </c>
    </row>
    <row r="678" ht="16" customHeight="1">
      <c r="A678" s="35" t="n"/>
      <c r="B678" s="36" t="n"/>
      <c r="C678" s="37">
        <f>IF(B678="","",IFERROR(INDEX('案件'!$B$6:$B$105,MATCH(B678,'案件'!$A$6:$A$105,0))&amp;"","（案件シートに無い番号）"))</f>
        <v/>
      </c>
      <c r="D678" s="36" t="n"/>
      <c r="E678" s="38" t="n"/>
      <c r="F678" s="39" t="n"/>
      <c r="G678" s="36" t="n"/>
      <c r="H678" s="40" t="n"/>
      <c r="I678" s="40" t="n"/>
      <c r="J678" s="41">
        <f>IF(ISNUMBER(H678),H678,IF(AND(D678="労務費",TRIM(E678)&lt;&gt;""),IFERROR(INDEX('設定'!$G$12:$G$31,MATCH(TRIM(E678),'設定'!$J$12:$J$31,0)),""),""))</f>
        <v/>
      </c>
      <c r="K678" s="30">
        <f>IF(AND(ISNUMBER(F678),ISNUMBER(J678)),ROUND(F678*J678,0),IF(ISNUMBER(I678),I678,""))</f>
        <v/>
      </c>
      <c r="L678" s="33" t="n"/>
      <c r="M678" s="34">
        <f>IF(COUNTA(A678:B678,D678:I678,L678)=0,"",IF(B678="","案件番号がありません",IF(ISNA(MATCH(B678,'案件'!$A$6:$A$105,0)),"案件シートに無い番号です",IF(NOT(OR(D678="材料費",D678="労務費",D678="外注費",D678="経費")),"費目を4つから選んでください",IF(K678="",IF(AND(ISNUMBER(F678),NOT(ISNUMBER(J678))),IF(D678="労務費","単価がありません（設定の作業者名と同じ書き方に）","単価がありません"),IF(AND(ISNUMBER(J678),NOT(ISNUMBER(F678))),"数量がありません","金額がありません")),IF(NOT(ISNUMBER(A678)),"日付がありません（月別集計に入りません）",IF(AND(ISNUMBER(F678),ISNUMBER(J678),ISNUMBER(I678)),"数量×単価を使いました（金額の欄は使っていません）","")))))))</f>
        <v/>
      </c>
      <c r="N678" s="91">
        <f>IF(AND(B678&lt;&gt;"",B678='案件カード'!$C$3),COUNTIF($B$5:B678,'案件カード'!$C$3),"")</f>
        <v/>
      </c>
      <c r="O678" s="91">
        <f>IF(ISNUMBER(K678),IF(B678="",K678,IF(AND(ISNUMBER(MATCH(B678,'案件'!$A$6:$A$105,0)),OR(D678="材料費",D678="労務費",D678="外注費",D678="経費")),0,K678)),0)</f>
        <v/>
      </c>
    </row>
    <row r="679" ht="16" customHeight="1">
      <c r="A679" s="35" t="n"/>
      <c r="B679" s="36" t="n"/>
      <c r="C679" s="37">
        <f>IF(B679="","",IFERROR(INDEX('案件'!$B$6:$B$105,MATCH(B679,'案件'!$A$6:$A$105,0))&amp;"","（案件シートに無い番号）"))</f>
        <v/>
      </c>
      <c r="D679" s="36" t="n"/>
      <c r="E679" s="38" t="n"/>
      <c r="F679" s="39" t="n"/>
      <c r="G679" s="36" t="n"/>
      <c r="H679" s="40" t="n"/>
      <c r="I679" s="40" t="n"/>
      <c r="J679" s="41">
        <f>IF(ISNUMBER(H679),H679,IF(AND(D679="労務費",TRIM(E679)&lt;&gt;""),IFERROR(INDEX('設定'!$G$12:$G$31,MATCH(TRIM(E679),'設定'!$J$12:$J$31,0)),""),""))</f>
        <v/>
      </c>
      <c r="K679" s="30">
        <f>IF(AND(ISNUMBER(F679),ISNUMBER(J679)),ROUND(F679*J679,0),IF(ISNUMBER(I679),I679,""))</f>
        <v/>
      </c>
      <c r="L679" s="33" t="n"/>
      <c r="M679" s="34">
        <f>IF(COUNTA(A679:B679,D679:I679,L679)=0,"",IF(B679="","案件番号がありません",IF(ISNA(MATCH(B679,'案件'!$A$6:$A$105,0)),"案件シートに無い番号です",IF(NOT(OR(D679="材料費",D679="労務費",D679="外注費",D679="経費")),"費目を4つから選んでください",IF(K679="",IF(AND(ISNUMBER(F679),NOT(ISNUMBER(J679))),IF(D679="労務費","単価がありません（設定の作業者名と同じ書き方に）","単価がありません"),IF(AND(ISNUMBER(J679),NOT(ISNUMBER(F679))),"数量がありません","金額がありません")),IF(NOT(ISNUMBER(A679)),"日付がありません（月別集計に入りません）",IF(AND(ISNUMBER(F679),ISNUMBER(J679),ISNUMBER(I679)),"数量×単価を使いました（金額の欄は使っていません）","")))))))</f>
        <v/>
      </c>
      <c r="N679" s="91">
        <f>IF(AND(B679&lt;&gt;"",B679='案件カード'!$C$3),COUNTIF($B$5:B679,'案件カード'!$C$3),"")</f>
        <v/>
      </c>
      <c r="O679" s="91">
        <f>IF(ISNUMBER(K679),IF(B679="",K679,IF(AND(ISNUMBER(MATCH(B679,'案件'!$A$6:$A$105,0)),OR(D679="材料費",D679="労務費",D679="外注費",D679="経費")),0,K679)),0)</f>
        <v/>
      </c>
    </row>
    <row r="680" ht="16" customHeight="1">
      <c r="A680" s="35" t="n"/>
      <c r="B680" s="36" t="n"/>
      <c r="C680" s="37">
        <f>IF(B680="","",IFERROR(INDEX('案件'!$B$6:$B$105,MATCH(B680,'案件'!$A$6:$A$105,0))&amp;"","（案件シートに無い番号）"))</f>
        <v/>
      </c>
      <c r="D680" s="36" t="n"/>
      <c r="E680" s="38" t="n"/>
      <c r="F680" s="39" t="n"/>
      <c r="G680" s="36" t="n"/>
      <c r="H680" s="40" t="n"/>
      <c r="I680" s="40" t="n"/>
      <c r="J680" s="41">
        <f>IF(ISNUMBER(H680),H680,IF(AND(D680="労務費",TRIM(E680)&lt;&gt;""),IFERROR(INDEX('設定'!$G$12:$G$31,MATCH(TRIM(E680),'設定'!$J$12:$J$31,0)),""),""))</f>
        <v/>
      </c>
      <c r="K680" s="30">
        <f>IF(AND(ISNUMBER(F680),ISNUMBER(J680)),ROUND(F680*J680,0),IF(ISNUMBER(I680),I680,""))</f>
        <v/>
      </c>
      <c r="L680" s="33" t="n"/>
      <c r="M680" s="34">
        <f>IF(COUNTA(A680:B680,D680:I680,L680)=0,"",IF(B680="","案件番号がありません",IF(ISNA(MATCH(B680,'案件'!$A$6:$A$105,0)),"案件シートに無い番号です",IF(NOT(OR(D680="材料費",D680="労務費",D680="外注費",D680="経費")),"費目を4つから選んでください",IF(K680="",IF(AND(ISNUMBER(F680),NOT(ISNUMBER(J680))),IF(D680="労務費","単価がありません（設定の作業者名と同じ書き方に）","単価がありません"),IF(AND(ISNUMBER(J680),NOT(ISNUMBER(F680))),"数量がありません","金額がありません")),IF(NOT(ISNUMBER(A680)),"日付がありません（月別集計に入りません）",IF(AND(ISNUMBER(F680),ISNUMBER(J680),ISNUMBER(I680)),"数量×単価を使いました（金額の欄は使っていません）","")))))))</f>
        <v/>
      </c>
      <c r="N680" s="91">
        <f>IF(AND(B680&lt;&gt;"",B680='案件カード'!$C$3),COUNTIF($B$5:B680,'案件カード'!$C$3),"")</f>
        <v/>
      </c>
      <c r="O680" s="91">
        <f>IF(ISNUMBER(K680),IF(B680="",K680,IF(AND(ISNUMBER(MATCH(B680,'案件'!$A$6:$A$105,0)),OR(D680="材料費",D680="労務費",D680="外注費",D680="経費")),0,K680)),0)</f>
        <v/>
      </c>
    </row>
    <row r="681" ht="16" customHeight="1">
      <c r="A681" s="35" t="n"/>
      <c r="B681" s="36" t="n"/>
      <c r="C681" s="37">
        <f>IF(B681="","",IFERROR(INDEX('案件'!$B$6:$B$105,MATCH(B681,'案件'!$A$6:$A$105,0))&amp;"","（案件シートに無い番号）"))</f>
        <v/>
      </c>
      <c r="D681" s="36" t="n"/>
      <c r="E681" s="38" t="n"/>
      <c r="F681" s="39" t="n"/>
      <c r="G681" s="36" t="n"/>
      <c r="H681" s="40" t="n"/>
      <c r="I681" s="40" t="n"/>
      <c r="J681" s="41">
        <f>IF(ISNUMBER(H681),H681,IF(AND(D681="労務費",TRIM(E681)&lt;&gt;""),IFERROR(INDEX('設定'!$G$12:$G$31,MATCH(TRIM(E681),'設定'!$J$12:$J$31,0)),""),""))</f>
        <v/>
      </c>
      <c r="K681" s="30">
        <f>IF(AND(ISNUMBER(F681),ISNUMBER(J681)),ROUND(F681*J681,0),IF(ISNUMBER(I681),I681,""))</f>
        <v/>
      </c>
      <c r="L681" s="33" t="n"/>
      <c r="M681" s="34">
        <f>IF(COUNTA(A681:B681,D681:I681,L681)=0,"",IF(B681="","案件番号がありません",IF(ISNA(MATCH(B681,'案件'!$A$6:$A$105,0)),"案件シートに無い番号です",IF(NOT(OR(D681="材料費",D681="労務費",D681="外注費",D681="経費")),"費目を4つから選んでください",IF(K681="",IF(AND(ISNUMBER(F681),NOT(ISNUMBER(J681))),IF(D681="労務費","単価がありません（設定の作業者名と同じ書き方に）","単価がありません"),IF(AND(ISNUMBER(J681),NOT(ISNUMBER(F681))),"数量がありません","金額がありません")),IF(NOT(ISNUMBER(A681)),"日付がありません（月別集計に入りません）",IF(AND(ISNUMBER(F681),ISNUMBER(J681),ISNUMBER(I681)),"数量×単価を使いました（金額の欄は使っていません）","")))))))</f>
        <v/>
      </c>
      <c r="N681" s="91">
        <f>IF(AND(B681&lt;&gt;"",B681='案件カード'!$C$3),COUNTIF($B$5:B681,'案件カード'!$C$3),"")</f>
        <v/>
      </c>
      <c r="O681" s="91">
        <f>IF(ISNUMBER(K681),IF(B681="",K681,IF(AND(ISNUMBER(MATCH(B681,'案件'!$A$6:$A$105,0)),OR(D681="材料費",D681="労務費",D681="外注費",D681="経費")),0,K681)),0)</f>
        <v/>
      </c>
    </row>
    <row r="682" ht="16" customHeight="1">
      <c r="A682" s="35" t="n"/>
      <c r="B682" s="36" t="n"/>
      <c r="C682" s="37">
        <f>IF(B682="","",IFERROR(INDEX('案件'!$B$6:$B$105,MATCH(B682,'案件'!$A$6:$A$105,0))&amp;"","（案件シートに無い番号）"))</f>
        <v/>
      </c>
      <c r="D682" s="36" t="n"/>
      <c r="E682" s="38" t="n"/>
      <c r="F682" s="39" t="n"/>
      <c r="G682" s="36" t="n"/>
      <c r="H682" s="40" t="n"/>
      <c r="I682" s="40" t="n"/>
      <c r="J682" s="41">
        <f>IF(ISNUMBER(H682),H682,IF(AND(D682="労務費",TRIM(E682)&lt;&gt;""),IFERROR(INDEX('設定'!$G$12:$G$31,MATCH(TRIM(E682),'設定'!$J$12:$J$31,0)),""),""))</f>
        <v/>
      </c>
      <c r="K682" s="30">
        <f>IF(AND(ISNUMBER(F682),ISNUMBER(J682)),ROUND(F682*J682,0),IF(ISNUMBER(I682),I682,""))</f>
        <v/>
      </c>
      <c r="L682" s="33" t="n"/>
      <c r="M682" s="34">
        <f>IF(COUNTA(A682:B682,D682:I682,L682)=0,"",IF(B682="","案件番号がありません",IF(ISNA(MATCH(B682,'案件'!$A$6:$A$105,0)),"案件シートに無い番号です",IF(NOT(OR(D682="材料費",D682="労務費",D682="外注費",D682="経費")),"費目を4つから選んでください",IF(K682="",IF(AND(ISNUMBER(F682),NOT(ISNUMBER(J682))),IF(D682="労務費","単価がありません（設定の作業者名と同じ書き方に）","単価がありません"),IF(AND(ISNUMBER(J682),NOT(ISNUMBER(F682))),"数量がありません","金額がありません")),IF(NOT(ISNUMBER(A682)),"日付がありません（月別集計に入りません）",IF(AND(ISNUMBER(F682),ISNUMBER(J682),ISNUMBER(I682)),"数量×単価を使いました（金額の欄は使っていません）","")))))))</f>
        <v/>
      </c>
      <c r="N682" s="91">
        <f>IF(AND(B682&lt;&gt;"",B682='案件カード'!$C$3),COUNTIF($B$5:B682,'案件カード'!$C$3),"")</f>
        <v/>
      </c>
      <c r="O682" s="91">
        <f>IF(ISNUMBER(K682),IF(B682="",K682,IF(AND(ISNUMBER(MATCH(B682,'案件'!$A$6:$A$105,0)),OR(D682="材料費",D682="労務費",D682="外注費",D682="経費")),0,K682)),0)</f>
        <v/>
      </c>
    </row>
    <row r="683" ht="16" customHeight="1">
      <c r="A683" s="35" t="n"/>
      <c r="B683" s="36" t="n"/>
      <c r="C683" s="37">
        <f>IF(B683="","",IFERROR(INDEX('案件'!$B$6:$B$105,MATCH(B683,'案件'!$A$6:$A$105,0))&amp;"","（案件シートに無い番号）"))</f>
        <v/>
      </c>
      <c r="D683" s="36" t="n"/>
      <c r="E683" s="38" t="n"/>
      <c r="F683" s="39" t="n"/>
      <c r="G683" s="36" t="n"/>
      <c r="H683" s="40" t="n"/>
      <c r="I683" s="40" t="n"/>
      <c r="J683" s="41">
        <f>IF(ISNUMBER(H683),H683,IF(AND(D683="労務費",TRIM(E683)&lt;&gt;""),IFERROR(INDEX('設定'!$G$12:$G$31,MATCH(TRIM(E683),'設定'!$J$12:$J$31,0)),""),""))</f>
        <v/>
      </c>
      <c r="K683" s="30">
        <f>IF(AND(ISNUMBER(F683),ISNUMBER(J683)),ROUND(F683*J683,0),IF(ISNUMBER(I683),I683,""))</f>
        <v/>
      </c>
      <c r="L683" s="33" t="n"/>
      <c r="M683" s="34">
        <f>IF(COUNTA(A683:B683,D683:I683,L683)=0,"",IF(B683="","案件番号がありません",IF(ISNA(MATCH(B683,'案件'!$A$6:$A$105,0)),"案件シートに無い番号です",IF(NOT(OR(D683="材料費",D683="労務費",D683="外注費",D683="経費")),"費目を4つから選んでください",IF(K683="",IF(AND(ISNUMBER(F683),NOT(ISNUMBER(J683))),IF(D683="労務費","単価がありません（設定の作業者名と同じ書き方に）","単価がありません"),IF(AND(ISNUMBER(J683),NOT(ISNUMBER(F683))),"数量がありません","金額がありません")),IF(NOT(ISNUMBER(A683)),"日付がありません（月別集計に入りません）",IF(AND(ISNUMBER(F683),ISNUMBER(J683),ISNUMBER(I683)),"数量×単価を使いました（金額の欄は使っていません）","")))))))</f>
        <v/>
      </c>
      <c r="N683" s="91">
        <f>IF(AND(B683&lt;&gt;"",B683='案件カード'!$C$3),COUNTIF($B$5:B683,'案件カード'!$C$3),"")</f>
        <v/>
      </c>
      <c r="O683" s="91">
        <f>IF(ISNUMBER(K683),IF(B683="",K683,IF(AND(ISNUMBER(MATCH(B683,'案件'!$A$6:$A$105,0)),OR(D683="材料費",D683="労務費",D683="外注費",D683="経費")),0,K683)),0)</f>
        <v/>
      </c>
    </row>
    <row r="684" ht="16" customHeight="1">
      <c r="A684" s="35" t="n"/>
      <c r="B684" s="36" t="n"/>
      <c r="C684" s="37">
        <f>IF(B684="","",IFERROR(INDEX('案件'!$B$6:$B$105,MATCH(B684,'案件'!$A$6:$A$105,0))&amp;"","（案件シートに無い番号）"))</f>
        <v/>
      </c>
      <c r="D684" s="36" t="n"/>
      <c r="E684" s="38" t="n"/>
      <c r="F684" s="39" t="n"/>
      <c r="G684" s="36" t="n"/>
      <c r="H684" s="40" t="n"/>
      <c r="I684" s="40" t="n"/>
      <c r="J684" s="41">
        <f>IF(ISNUMBER(H684),H684,IF(AND(D684="労務費",TRIM(E684)&lt;&gt;""),IFERROR(INDEX('設定'!$G$12:$G$31,MATCH(TRIM(E684),'設定'!$J$12:$J$31,0)),""),""))</f>
        <v/>
      </c>
      <c r="K684" s="30">
        <f>IF(AND(ISNUMBER(F684),ISNUMBER(J684)),ROUND(F684*J684,0),IF(ISNUMBER(I684),I684,""))</f>
        <v/>
      </c>
      <c r="L684" s="33" t="n"/>
      <c r="M684" s="34">
        <f>IF(COUNTA(A684:B684,D684:I684,L684)=0,"",IF(B684="","案件番号がありません",IF(ISNA(MATCH(B684,'案件'!$A$6:$A$105,0)),"案件シートに無い番号です",IF(NOT(OR(D684="材料費",D684="労務費",D684="外注費",D684="経費")),"費目を4つから選んでください",IF(K684="",IF(AND(ISNUMBER(F684),NOT(ISNUMBER(J684))),IF(D684="労務費","単価がありません（設定の作業者名と同じ書き方に）","単価がありません"),IF(AND(ISNUMBER(J684),NOT(ISNUMBER(F684))),"数量がありません","金額がありません")),IF(NOT(ISNUMBER(A684)),"日付がありません（月別集計に入りません）",IF(AND(ISNUMBER(F684),ISNUMBER(J684),ISNUMBER(I684)),"数量×単価を使いました（金額の欄は使っていません）","")))))))</f>
        <v/>
      </c>
      <c r="N684" s="91">
        <f>IF(AND(B684&lt;&gt;"",B684='案件カード'!$C$3),COUNTIF($B$5:B684,'案件カード'!$C$3),"")</f>
        <v/>
      </c>
      <c r="O684" s="91">
        <f>IF(ISNUMBER(K684),IF(B684="",K684,IF(AND(ISNUMBER(MATCH(B684,'案件'!$A$6:$A$105,0)),OR(D684="材料費",D684="労務費",D684="外注費",D684="経費")),0,K684)),0)</f>
        <v/>
      </c>
    </row>
    <row r="685" ht="16" customHeight="1">
      <c r="A685" s="35" t="n"/>
      <c r="B685" s="36" t="n"/>
      <c r="C685" s="37">
        <f>IF(B685="","",IFERROR(INDEX('案件'!$B$6:$B$105,MATCH(B685,'案件'!$A$6:$A$105,0))&amp;"","（案件シートに無い番号）"))</f>
        <v/>
      </c>
      <c r="D685" s="36" t="n"/>
      <c r="E685" s="38" t="n"/>
      <c r="F685" s="39" t="n"/>
      <c r="G685" s="36" t="n"/>
      <c r="H685" s="40" t="n"/>
      <c r="I685" s="40" t="n"/>
      <c r="J685" s="41">
        <f>IF(ISNUMBER(H685),H685,IF(AND(D685="労務費",TRIM(E685)&lt;&gt;""),IFERROR(INDEX('設定'!$G$12:$G$31,MATCH(TRIM(E685),'設定'!$J$12:$J$31,0)),""),""))</f>
        <v/>
      </c>
      <c r="K685" s="30">
        <f>IF(AND(ISNUMBER(F685),ISNUMBER(J685)),ROUND(F685*J685,0),IF(ISNUMBER(I685),I685,""))</f>
        <v/>
      </c>
      <c r="L685" s="33" t="n"/>
      <c r="M685" s="34">
        <f>IF(COUNTA(A685:B685,D685:I685,L685)=0,"",IF(B685="","案件番号がありません",IF(ISNA(MATCH(B685,'案件'!$A$6:$A$105,0)),"案件シートに無い番号です",IF(NOT(OR(D685="材料費",D685="労務費",D685="外注費",D685="経費")),"費目を4つから選んでください",IF(K685="",IF(AND(ISNUMBER(F685),NOT(ISNUMBER(J685))),IF(D685="労務費","単価がありません（設定の作業者名と同じ書き方に）","単価がありません"),IF(AND(ISNUMBER(J685),NOT(ISNUMBER(F685))),"数量がありません","金額がありません")),IF(NOT(ISNUMBER(A685)),"日付がありません（月別集計に入りません）",IF(AND(ISNUMBER(F685),ISNUMBER(J685),ISNUMBER(I685)),"数量×単価を使いました（金額の欄は使っていません）","")))))))</f>
        <v/>
      </c>
      <c r="N685" s="91">
        <f>IF(AND(B685&lt;&gt;"",B685='案件カード'!$C$3),COUNTIF($B$5:B685,'案件カード'!$C$3),"")</f>
        <v/>
      </c>
      <c r="O685" s="91">
        <f>IF(ISNUMBER(K685),IF(B685="",K685,IF(AND(ISNUMBER(MATCH(B685,'案件'!$A$6:$A$105,0)),OR(D685="材料費",D685="労務費",D685="外注費",D685="経費")),0,K685)),0)</f>
        <v/>
      </c>
    </row>
    <row r="686" ht="16" customHeight="1">
      <c r="A686" s="35" t="n"/>
      <c r="B686" s="36" t="n"/>
      <c r="C686" s="37">
        <f>IF(B686="","",IFERROR(INDEX('案件'!$B$6:$B$105,MATCH(B686,'案件'!$A$6:$A$105,0))&amp;"","（案件シートに無い番号）"))</f>
        <v/>
      </c>
      <c r="D686" s="36" t="n"/>
      <c r="E686" s="38" t="n"/>
      <c r="F686" s="39" t="n"/>
      <c r="G686" s="36" t="n"/>
      <c r="H686" s="40" t="n"/>
      <c r="I686" s="40" t="n"/>
      <c r="J686" s="41">
        <f>IF(ISNUMBER(H686),H686,IF(AND(D686="労務費",TRIM(E686)&lt;&gt;""),IFERROR(INDEX('設定'!$G$12:$G$31,MATCH(TRIM(E686),'設定'!$J$12:$J$31,0)),""),""))</f>
        <v/>
      </c>
      <c r="K686" s="30">
        <f>IF(AND(ISNUMBER(F686),ISNUMBER(J686)),ROUND(F686*J686,0),IF(ISNUMBER(I686),I686,""))</f>
        <v/>
      </c>
      <c r="L686" s="33" t="n"/>
      <c r="M686" s="34">
        <f>IF(COUNTA(A686:B686,D686:I686,L686)=0,"",IF(B686="","案件番号がありません",IF(ISNA(MATCH(B686,'案件'!$A$6:$A$105,0)),"案件シートに無い番号です",IF(NOT(OR(D686="材料費",D686="労務費",D686="外注費",D686="経費")),"費目を4つから選んでください",IF(K686="",IF(AND(ISNUMBER(F686),NOT(ISNUMBER(J686))),IF(D686="労務費","単価がありません（設定の作業者名と同じ書き方に）","単価がありません"),IF(AND(ISNUMBER(J686),NOT(ISNUMBER(F686))),"数量がありません","金額がありません")),IF(NOT(ISNUMBER(A686)),"日付がありません（月別集計に入りません）",IF(AND(ISNUMBER(F686),ISNUMBER(J686),ISNUMBER(I686)),"数量×単価を使いました（金額の欄は使っていません）","")))))))</f>
        <v/>
      </c>
      <c r="N686" s="91">
        <f>IF(AND(B686&lt;&gt;"",B686='案件カード'!$C$3),COUNTIF($B$5:B686,'案件カード'!$C$3),"")</f>
        <v/>
      </c>
      <c r="O686" s="91">
        <f>IF(ISNUMBER(K686),IF(B686="",K686,IF(AND(ISNUMBER(MATCH(B686,'案件'!$A$6:$A$105,0)),OR(D686="材料費",D686="労務費",D686="外注費",D686="経費")),0,K686)),0)</f>
        <v/>
      </c>
    </row>
    <row r="687" ht="16" customHeight="1">
      <c r="A687" s="35" t="n"/>
      <c r="B687" s="36" t="n"/>
      <c r="C687" s="37">
        <f>IF(B687="","",IFERROR(INDEX('案件'!$B$6:$B$105,MATCH(B687,'案件'!$A$6:$A$105,0))&amp;"","（案件シートに無い番号）"))</f>
        <v/>
      </c>
      <c r="D687" s="36" t="n"/>
      <c r="E687" s="38" t="n"/>
      <c r="F687" s="39" t="n"/>
      <c r="G687" s="36" t="n"/>
      <c r="H687" s="40" t="n"/>
      <c r="I687" s="40" t="n"/>
      <c r="J687" s="41">
        <f>IF(ISNUMBER(H687),H687,IF(AND(D687="労務費",TRIM(E687)&lt;&gt;""),IFERROR(INDEX('設定'!$G$12:$G$31,MATCH(TRIM(E687),'設定'!$J$12:$J$31,0)),""),""))</f>
        <v/>
      </c>
      <c r="K687" s="30">
        <f>IF(AND(ISNUMBER(F687),ISNUMBER(J687)),ROUND(F687*J687,0),IF(ISNUMBER(I687),I687,""))</f>
        <v/>
      </c>
      <c r="L687" s="33" t="n"/>
      <c r="M687" s="34">
        <f>IF(COUNTA(A687:B687,D687:I687,L687)=0,"",IF(B687="","案件番号がありません",IF(ISNA(MATCH(B687,'案件'!$A$6:$A$105,0)),"案件シートに無い番号です",IF(NOT(OR(D687="材料費",D687="労務費",D687="外注費",D687="経費")),"費目を4つから選んでください",IF(K687="",IF(AND(ISNUMBER(F687),NOT(ISNUMBER(J687))),IF(D687="労務費","単価がありません（設定の作業者名と同じ書き方に）","単価がありません"),IF(AND(ISNUMBER(J687),NOT(ISNUMBER(F687))),"数量がありません","金額がありません")),IF(NOT(ISNUMBER(A687)),"日付がありません（月別集計に入りません）",IF(AND(ISNUMBER(F687),ISNUMBER(J687),ISNUMBER(I687)),"数量×単価を使いました（金額の欄は使っていません）","")))))))</f>
        <v/>
      </c>
      <c r="N687" s="91">
        <f>IF(AND(B687&lt;&gt;"",B687='案件カード'!$C$3),COUNTIF($B$5:B687,'案件カード'!$C$3),"")</f>
        <v/>
      </c>
      <c r="O687" s="91">
        <f>IF(ISNUMBER(K687),IF(B687="",K687,IF(AND(ISNUMBER(MATCH(B687,'案件'!$A$6:$A$105,0)),OR(D687="材料費",D687="労務費",D687="外注費",D687="経費")),0,K687)),0)</f>
        <v/>
      </c>
    </row>
    <row r="688" ht="16" customHeight="1">
      <c r="A688" s="35" t="n"/>
      <c r="B688" s="36" t="n"/>
      <c r="C688" s="37">
        <f>IF(B688="","",IFERROR(INDEX('案件'!$B$6:$B$105,MATCH(B688,'案件'!$A$6:$A$105,0))&amp;"","（案件シートに無い番号）"))</f>
        <v/>
      </c>
      <c r="D688" s="36" t="n"/>
      <c r="E688" s="38" t="n"/>
      <c r="F688" s="39" t="n"/>
      <c r="G688" s="36" t="n"/>
      <c r="H688" s="40" t="n"/>
      <c r="I688" s="40" t="n"/>
      <c r="J688" s="41">
        <f>IF(ISNUMBER(H688),H688,IF(AND(D688="労務費",TRIM(E688)&lt;&gt;""),IFERROR(INDEX('設定'!$G$12:$G$31,MATCH(TRIM(E688),'設定'!$J$12:$J$31,0)),""),""))</f>
        <v/>
      </c>
      <c r="K688" s="30">
        <f>IF(AND(ISNUMBER(F688),ISNUMBER(J688)),ROUND(F688*J688,0),IF(ISNUMBER(I688),I688,""))</f>
        <v/>
      </c>
      <c r="L688" s="33" t="n"/>
      <c r="M688" s="34">
        <f>IF(COUNTA(A688:B688,D688:I688,L688)=0,"",IF(B688="","案件番号がありません",IF(ISNA(MATCH(B688,'案件'!$A$6:$A$105,0)),"案件シートに無い番号です",IF(NOT(OR(D688="材料費",D688="労務費",D688="外注費",D688="経費")),"費目を4つから選んでください",IF(K688="",IF(AND(ISNUMBER(F688),NOT(ISNUMBER(J688))),IF(D688="労務費","単価がありません（設定の作業者名と同じ書き方に）","単価がありません"),IF(AND(ISNUMBER(J688),NOT(ISNUMBER(F688))),"数量がありません","金額がありません")),IF(NOT(ISNUMBER(A688)),"日付がありません（月別集計に入りません）",IF(AND(ISNUMBER(F688),ISNUMBER(J688),ISNUMBER(I688)),"数量×単価を使いました（金額の欄は使っていません）","")))))))</f>
        <v/>
      </c>
      <c r="N688" s="91">
        <f>IF(AND(B688&lt;&gt;"",B688='案件カード'!$C$3),COUNTIF($B$5:B688,'案件カード'!$C$3),"")</f>
        <v/>
      </c>
      <c r="O688" s="91">
        <f>IF(ISNUMBER(K688),IF(B688="",K688,IF(AND(ISNUMBER(MATCH(B688,'案件'!$A$6:$A$105,0)),OR(D688="材料費",D688="労務費",D688="外注費",D688="経費")),0,K688)),0)</f>
        <v/>
      </c>
    </row>
    <row r="689" ht="16" customHeight="1">
      <c r="A689" s="35" t="n"/>
      <c r="B689" s="36" t="n"/>
      <c r="C689" s="37">
        <f>IF(B689="","",IFERROR(INDEX('案件'!$B$6:$B$105,MATCH(B689,'案件'!$A$6:$A$105,0))&amp;"","（案件シートに無い番号）"))</f>
        <v/>
      </c>
      <c r="D689" s="36" t="n"/>
      <c r="E689" s="38" t="n"/>
      <c r="F689" s="39" t="n"/>
      <c r="G689" s="36" t="n"/>
      <c r="H689" s="40" t="n"/>
      <c r="I689" s="40" t="n"/>
      <c r="J689" s="41">
        <f>IF(ISNUMBER(H689),H689,IF(AND(D689="労務費",TRIM(E689)&lt;&gt;""),IFERROR(INDEX('設定'!$G$12:$G$31,MATCH(TRIM(E689),'設定'!$J$12:$J$31,0)),""),""))</f>
        <v/>
      </c>
      <c r="K689" s="30">
        <f>IF(AND(ISNUMBER(F689),ISNUMBER(J689)),ROUND(F689*J689,0),IF(ISNUMBER(I689),I689,""))</f>
        <v/>
      </c>
      <c r="L689" s="33" t="n"/>
      <c r="M689" s="34">
        <f>IF(COUNTA(A689:B689,D689:I689,L689)=0,"",IF(B689="","案件番号がありません",IF(ISNA(MATCH(B689,'案件'!$A$6:$A$105,0)),"案件シートに無い番号です",IF(NOT(OR(D689="材料費",D689="労務費",D689="外注費",D689="経費")),"費目を4つから選んでください",IF(K689="",IF(AND(ISNUMBER(F689),NOT(ISNUMBER(J689))),IF(D689="労務費","単価がありません（設定の作業者名と同じ書き方に）","単価がありません"),IF(AND(ISNUMBER(J689),NOT(ISNUMBER(F689))),"数量がありません","金額がありません")),IF(NOT(ISNUMBER(A689)),"日付がありません（月別集計に入りません）",IF(AND(ISNUMBER(F689),ISNUMBER(J689),ISNUMBER(I689)),"数量×単価を使いました（金額の欄は使っていません）","")))))))</f>
        <v/>
      </c>
      <c r="N689" s="91">
        <f>IF(AND(B689&lt;&gt;"",B689='案件カード'!$C$3),COUNTIF($B$5:B689,'案件カード'!$C$3),"")</f>
        <v/>
      </c>
      <c r="O689" s="91">
        <f>IF(ISNUMBER(K689),IF(B689="",K689,IF(AND(ISNUMBER(MATCH(B689,'案件'!$A$6:$A$105,0)),OR(D689="材料費",D689="労務費",D689="外注費",D689="経費")),0,K689)),0)</f>
        <v/>
      </c>
    </row>
    <row r="690" ht="16" customHeight="1">
      <c r="A690" s="35" t="n"/>
      <c r="B690" s="36" t="n"/>
      <c r="C690" s="37">
        <f>IF(B690="","",IFERROR(INDEX('案件'!$B$6:$B$105,MATCH(B690,'案件'!$A$6:$A$105,0))&amp;"","（案件シートに無い番号）"))</f>
        <v/>
      </c>
      <c r="D690" s="36" t="n"/>
      <c r="E690" s="38" t="n"/>
      <c r="F690" s="39" t="n"/>
      <c r="G690" s="36" t="n"/>
      <c r="H690" s="40" t="n"/>
      <c r="I690" s="40" t="n"/>
      <c r="J690" s="41">
        <f>IF(ISNUMBER(H690),H690,IF(AND(D690="労務費",TRIM(E690)&lt;&gt;""),IFERROR(INDEX('設定'!$G$12:$G$31,MATCH(TRIM(E690),'設定'!$J$12:$J$31,0)),""),""))</f>
        <v/>
      </c>
      <c r="K690" s="30">
        <f>IF(AND(ISNUMBER(F690),ISNUMBER(J690)),ROUND(F690*J690,0),IF(ISNUMBER(I690),I690,""))</f>
        <v/>
      </c>
      <c r="L690" s="33" t="n"/>
      <c r="M690" s="34">
        <f>IF(COUNTA(A690:B690,D690:I690,L690)=0,"",IF(B690="","案件番号がありません",IF(ISNA(MATCH(B690,'案件'!$A$6:$A$105,0)),"案件シートに無い番号です",IF(NOT(OR(D690="材料費",D690="労務費",D690="外注費",D690="経費")),"費目を4つから選んでください",IF(K690="",IF(AND(ISNUMBER(F690),NOT(ISNUMBER(J690))),IF(D690="労務費","単価がありません（設定の作業者名と同じ書き方に）","単価がありません"),IF(AND(ISNUMBER(J690),NOT(ISNUMBER(F690))),"数量がありません","金額がありません")),IF(NOT(ISNUMBER(A690)),"日付がありません（月別集計に入りません）",IF(AND(ISNUMBER(F690),ISNUMBER(J690),ISNUMBER(I690)),"数量×単価を使いました（金額の欄は使っていません）","")))))))</f>
        <v/>
      </c>
      <c r="N690" s="91">
        <f>IF(AND(B690&lt;&gt;"",B690='案件カード'!$C$3),COUNTIF($B$5:B690,'案件カード'!$C$3),"")</f>
        <v/>
      </c>
      <c r="O690" s="91">
        <f>IF(ISNUMBER(K690),IF(B690="",K690,IF(AND(ISNUMBER(MATCH(B690,'案件'!$A$6:$A$105,0)),OR(D690="材料費",D690="労務費",D690="外注費",D690="経費")),0,K690)),0)</f>
        <v/>
      </c>
    </row>
    <row r="691" ht="16" customHeight="1">
      <c r="A691" s="35" t="n"/>
      <c r="B691" s="36" t="n"/>
      <c r="C691" s="37">
        <f>IF(B691="","",IFERROR(INDEX('案件'!$B$6:$B$105,MATCH(B691,'案件'!$A$6:$A$105,0))&amp;"","（案件シートに無い番号）"))</f>
        <v/>
      </c>
      <c r="D691" s="36" t="n"/>
      <c r="E691" s="38" t="n"/>
      <c r="F691" s="39" t="n"/>
      <c r="G691" s="36" t="n"/>
      <c r="H691" s="40" t="n"/>
      <c r="I691" s="40" t="n"/>
      <c r="J691" s="41">
        <f>IF(ISNUMBER(H691),H691,IF(AND(D691="労務費",TRIM(E691)&lt;&gt;""),IFERROR(INDEX('設定'!$G$12:$G$31,MATCH(TRIM(E691),'設定'!$J$12:$J$31,0)),""),""))</f>
        <v/>
      </c>
      <c r="K691" s="30">
        <f>IF(AND(ISNUMBER(F691),ISNUMBER(J691)),ROUND(F691*J691,0),IF(ISNUMBER(I691),I691,""))</f>
        <v/>
      </c>
      <c r="L691" s="33" t="n"/>
      <c r="M691" s="34">
        <f>IF(COUNTA(A691:B691,D691:I691,L691)=0,"",IF(B691="","案件番号がありません",IF(ISNA(MATCH(B691,'案件'!$A$6:$A$105,0)),"案件シートに無い番号です",IF(NOT(OR(D691="材料費",D691="労務費",D691="外注費",D691="経費")),"費目を4つから選んでください",IF(K691="",IF(AND(ISNUMBER(F691),NOT(ISNUMBER(J691))),IF(D691="労務費","単価がありません（設定の作業者名と同じ書き方に）","単価がありません"),IF(AND(ISNUMBER(J691),NOT(ISNUMBER(F691))),"数量がありません","金額がありません")),IF(NOT(ISNUMBER(A691)),"日付がありません（月別集計に入りません）",IF(AND(ISNUMBER(F691),ISNUMBER(J691),ISNUMBER(I691)),"数量×単価を使いました（金額の欄は使っていません）","")))))))</f>
        <v/>
      </c>
      <c r="N691" s="91">
        <f>IF(AND(B691&lt;&gt;"",B691='案件カード'!$C$3),COUNTIF($B$5:B691,'案件カード'!$C$3),"")</f>
        <v/>
      </c>
      <c r="O691" s="91">
        <f>IF(ISNUMBER(K691),IF(B691="",K691,IF(AND(ISNUMBER(MATCH(B691,'案件'!$A$6:$A$105,0)),OR(D691="材料費",D691="労務費",D691="外注費",D691="経費")),0,K691)),0)</f>
        <v/>
      </c>
    </row>
    <row r="692" ht="16" customHeight="1">
      <c r="A692" s="35" t="n"/>
      <c r="B692" s="36" t="n"/>
      <c r="C692" s="37">
        <f>IF(B692="","",IFERROR(INDEX('案件'!$B$6:$B$105,MATCH(B692,'案件'!$A$6:$A$105,0))&amp;"","（案件シートに無い番号）"))</f>
        <v/>
      </c>
      <c r="D692" s="36" t="n"/>
      <c r="E692" s="38" t="n"/>
      <c r="F692" s="39" t="n"/>
      <c r="G692" s="36" t="n"/>
      <c r="H692" s="40" t="n"/>
      <c r="I692" s="40" t="n"/>
      <c r="J692" s="41">
        <f>IF(ISNUMBER(H692),H692,IF(AND(D692="労務費",TRIM(E692)&lt;&gt;""),IFERROR(INDEX('設定'!$G$12:$G$31,MATCH(TRIM(E692),'設定'!$J$12:$J$31,0)),""),""))</f>
        <v/>
      </c>
      <c r="K692" s="30">
        <f>IF(AND(ISNUMBER(F692),ISNUMBER(J692)),ROUND(F692*J692,0),IF(ISNUMBER(I692),I692,""))</f>
        <v/>
      </c>
      <c r="L692" s="33" t="n"/>
      <c r="M692" s="34">
        <f>IF(COUNTA(A692:B692,D692:I692,L692)=0,"",IF(B692="","案件番号がありません",IF(ISNA(MATCH(B692,'案件'!$A$6:$A$105,0)),"案件シートに無い番号です",IF(NOT(OR(D692="材料費",D692="労務費",D692="外注費",D692="経費")),"費目を4つから選んでください",IF(K692="",IF(AND(ISNUMBER(F692),NOT(ISNUMBER(J692))),IF(D692="労務費","単価がありません（設定の作業者名と同じ書き方に）","単価がありません"),IF(AND(ISNUMBER(J692),NOT(ISNUMBER(F692))),"数量がありません","金額がありません")),IF(NOT(ISNUMBER(A692)),"日付がありません（月別集計に入りません）",IF(AND(ISNUMBER(F692),ISNUMBER(J692),ISNUMBER(I692)),"数量×単価を使いました（金額の欄は使っていません）","")))))))</f>
        <v/>
      </c>
      <c r="N692" s="91">
        <f>IF(AND(B692&lt;&gt;"",B692='案件カード'!$C$3),COUNTIF($B$5:B692,'案件カード'!$C$3),"")</f>
        <v/>
      </c>
      <c r="O692" s="91">
        <f>IF(ISNUMBER(K692),IF(B692="",K692,IF(AND(ISNUMBER(MATCH(B692,'案件'!$A$6:$A$105,0)),OR(D692="材料費",D692="労務費",D692="外注費",D692="経費")),0,K692)),0)</f>
        <v/>
      </c>
    </row>
    <row r="693" ht="16" customHeight="1">
      <c r="A693" s="35" t="n"/>
      <c r="B693" s="36" t="n"/>
      <c r="C693" s="37">
        <f>IF(B693="","",IFERROR(INDEX('案件'!$B$6:$B$105,MATCH(B693,'案件'!$A$6:$A$105,0))&amp;"","（案件シートに無い番号）"))</f>
        <v/>
      </c>
      <c r="D693" s="36" t="n"/>
      <c r="E693" s="38" t="n"/>
      <c r="F693" s="39" t="n"/>
      <c r="G693" s="36" t="n"/>
      <c r="H693" s="40" t="n"/>
      <c r="I693" s="40" t="n"/>
      <c r="J693" s="41">
        <f>IF(ISNUMBER(H693),H693,IF(AND(D693="労務費",TRIM(E693)&lt;&gt;""),IFERROR(INDEX('設定'!$G$12:$G$31,MATCH(TRIM(E693),'設定'!$J$12:$J$31,0)),""),""))</f>
        <v/>
      </c>
      <c r="K693" s="30">
        <f>IF(AND(ISNUMBER(F693),ISNUMBER(J693)),ROUND(F693*J693,0),IF(ISNUMBER(I693),I693,""))</f>
        <v/>
      </c>
      <c r="L693" s="33" t="n"/>
      <c r="M693" s="34">
        <f>IF(COUNTA(A693:B693,D693:I693,L693)=0,"",IF(B693="","案件番号がありません",IF(ISNA(MATCH(B693,'案件'!$A$6:$A$105,0)),"案件シートに無い番号です",IF(NOT(OR(D693="材料費",D693="労務費",D693="外注費",D693="経費")),"費目を4つから選んでください",IF(K693="",IF(AND(ISNUMBER(F693),NOT(ISNUMBER(J693))),IF(D693="労務費","単価がありません（設定の作業者名と同じ書き方に）","単価がありません"),IF(AND(ISNUMBER(J693),NOT(ISNUMBER(F693))),"数量がありません","金額がありません")),IF(NOT(ISNUMBER(A693)),"日付がありません（月別集計に入りません）",IF(AND(ISNUMBER(F693),ISNUMBER(J693),ISNUMBER(I693)),"数量×単価を使いました（金額の欄は使っていません）","")))))))</f>
        <v/>
      </c>
      <c r="N693" s="91">
        <f>IF(AND(B693&lt;&gt;"",B693='案件カード'!$C$3),COUNTIF($B$5:B693,'案件カード'!$C$3),"")</f>
        <v/>
      </c>
      <c r="O693" s="91">
        <f>IF(ISNUMBER(K693),IF(B693="",K693,IF(AND(ISNUMBER(MATCH(B693,'案件'!$A$6:$A$105,0)),OR(D693="材料費",D693="労務費",D693="外注費",D693="経費")),0,K693)),0)</f>
        <v/>
      </c>
    </row>
    <row r="694" ht="16" customHeight="1">
      <c r="A694" s="35" t="n"/>
      <c r="B694" s="36" t="n"/>
      <c r="C694" s="37">
        <f>IF(B694="","",IFERROR(INDEX('案件'!$B$6:$B$105,MATCH(B694,'案件'!$A$6:$A$105,0))&amp;"","（案件シートに無い番号）"))</f>
        <v/>
      </c>
      <c r="D694" s="36" t="n"/>
      <c r="E694" s="38" t="n"/>
      <c r="F694" s="39" t="n"/>
      <c r="G694" s="36" t="n"/>
      <c r="H694" s="40" t="n"/>
      <c r="I694" s="40" t="n"/>
      <c r="J694" s="41">
        <f>IF(ISNUMBER(H694),H694,IF(AND(D694="労務費",TRIM(E694)&lt;&gt;""),IFERROR(INDEX('設定'!$G$12:$G$31,MATCH(TRIM(E694),'設定'!$J$12:$J$31,0)),""),""))</f>
        <v/>
      </c>
      <c r="K694" s="30">
        <f>IF(AND(ISNUMBER(F694),ISNUMBER(J694)),ROUND(F694*J694,0),IF(ISNUMBER(I694),I694,""))</f>
        <v/>
      </c>
      <c r="L694" s="33" t="n"/>
      <c r="M694" s="34">
        <f>IF(COUNTA(A694:B694,D694:I694,L694)=0,"",IF(B694="","案件番号がありません",IF(ISNA(MATCH(B694,'案件'!$A$6:$A$105,0)),"案件シートに無い番号です",IF(NOT(OR(D694="材料費",D694="労務費",D694="外注費",D694="経費")),"費目を4つから選んでください",IF(K694="",IF(AND(ISNUMBER(F694),NOT(ISNUMBER(J694))),IF(D694="労務費","単価がありません（設定の作業者名と同じ書き方に）","単価がありません"),IF(AND(ISNUMBER(J694),NOT(ISNUMBER(F694))),"数量がありません","金額がありません")),IF(NOT(ISNUMBER(A694)),"日付がありません（月別集計に入りません）",IF(AND(ISNUMBER(F694),ISNUMBER(J694),ISNUMBER(I694)),"数量×単価を使いました（金額の欄は使っていません）","")))))))</f>
        <v/>
      </c>
      <c r="N694" s="91">
        <f>IF(AND(B694&lt;&gt;"",B694='案件カード'!$C$3),COUNTIF($B$5:B694,'案件カード'!$C$3),"")</f>
        <v/>
      </c>
      <c r="O694" s="91">
        <f>IF(ISNUMBER(K694),IF(B694="",K694,IF(AND(ISNUMBER(MATCH(B694,'案件'!$A$6:$A$105,0)),OR(D694="材料費",D694="労務費",D694="外注費",D694="経費")),0,K694)),0)</f>
        <v/>
      </c>
    </row>
    <row r="695" ht="16" customHeight="1">
      <c r="A695" s="35" t="n"/>
      <c r="B695" s="36" t="n"/>
      <c r="C695" s="37">
        <f>IF(B695="","",IFERROR(INDEX('案件'!$B$6:$B$105,MATCH(B695,'案件'!$A$6:$A$105,0))&amp;"","（案件シートに無い番号）"))</f>
        <v/>
      </c>
      <c r="D695" s="36" t="n"/>
      <c r="E695" s="38" t="n"/>
      <c r="F695" s="39" t="n"/>
      <c r="G695" s="36" t="n"/>
      <c r="H695" s="40" t="n"/>
      <c r="I695" s="40" t="n"/>
      <c r="J695" s="41">
        <f>IF(ISNUMBER(H695),H695,IF(AND(D695="労務費",TRIM(E695)&lt;&gt;""),IFERROR(INDEX('設定'!$G$12:$G$31,MATCH(TRIM(E695),'設定'!$J$12:$J$31,0)),""),""))</f>
        <v/>
      </c>
      <c r="K695" s="30">
        <f>IF(AND(ISNUMBER(F695),ISNUMBER(J695)),ROUND(F695*J695,0),IF(ISNUMBER(I695),I695,""))</f>
        <v/>
      </c>
      <c r="L695" s="33" t="n"/>
      <c r="M695" s="34">
        <f>IF(COUNTA(A695:B695,D695:I695,L695)=0,"",IF(B695="","案件番号がありません",IF(ISNA(MATCH(B695,'案件'!$A$6:$A$105,0)),"案件シートに無い番号です",IF(NOT(OR(D695="材料費",D695="労務費",D695="外注費",D695="経費")),"費目を4つから選んでください",IF(K695="",IF(AND(ISNUMBER(F695),NOT(ISNUMBER(J695))),IF(D695="労務費","単価がありません（設定の作業者名と同じ書き方に）","単価がありません"),IF(AND(ISNUMBER(J695),NOT(ISNUMBER(F695))),"数量がありません","金額がありません")),IF(NOT(ISNUMBER(A695)),"日付がありません（月別集計に入りません）",IF(AND(ISNUMBER(F695),ISNUMBER(J695),ISNUMBER(I695)),"数量×単価を使いました（金額の欄は使っていません）","")))))))</f>
        <v/>
      </c>
      <c r="N695" s="91">
        <f>IF(AND(B695&lt;&gt;"",B695='案件カード'!$C$3),COUNTIF($B$5:B695,'案件カード'!$C$3),"")</f>
        <v/>
      </c>
      <c r="O695" s="91">
        <f>IF(ISNUMBER(K695),IF(B695="",K695,IF(AND(ISNUMBER(MATCH(B695,'案件'!$A$6:$A$105,0)),OR(D695="材料費",D695="労務費",D695="外注費",D695="経費")),0,K695)),0)</f>
        <v/>
      </c>
    </row>
    <row r="696" ht="16" customHeight="1">
      <c r="A696" s="35" t="n"/>
      <c r="B696" s="36" t="n"/>
      <c r="C696" s="37">
        <f>IF(B696="","",IFERROR(INDEX('案件'!$B$6:$B$105,MATCH(B696,'案件'!$A$6:$A$105,0))&amp;"","（案件シートに無い番号）"))</f>
        <v/>
      </c>
      <c r="D696" s="36" t="n"/>
      <c r="E696" s="38" t="n"/>
      <c r="F696" s="39" t="n"/>
      <c r="G696" s="36" t="n"/>
      <c r="H696" s="40" t="n"/>
      <c r="I696" s="40" t="n"/>
      <c r="J696" s="41">
        <f>IF(ISNUMBER(H696),H696,IF(AND(D696="労務費",TRIM(E696)&lt;&gt;""),IFERROR(INDEX('設定'!$G$12:$G$31,MATCH(TRIM(E696),'設定'!$J$12:$J$31,0)),""),""))</f>
        <v/>
      </c>
      <c r="K696" s="30">
        <f>IF(AND(ISNUMBER(F696),ISNUMBER(J696)),ROUND(F696*J696,0),IF(ISNUMBER(I696),I696,""))</f>
        <v/>
      </c>
      <c r="L696" s="33" t="n"/>
      <c r="M696" s="34">
        <f>IF(COUNTA(A696:B696,D696:I696,L696)=0,"",IF(B696="","案件番号がありません",IF(ISNA(MATCH(B696,'案件'!$A$6:$A$105,0)),"案件シートに無い番号です",IF(NOT(OR(D696="材料費",D696="労務費",D696="外注費",D696="経費")),"費目を4つから選んでください",IF(K696="",IF(AND(ISNUMBER(F696),NOT(ISNUMBER(J696))),IF(D696="労務費","単価がありません（設定の作業者名と同じ書き方に）","単価がありません"),IF(AND(ISNUMBER(J696),NOT(ISNUMBER(F696))),"数量がありません","金額がありません")),IF(NOT(ISNUMBER(A696)),"日付がありません（月別集計に入りません）",IF(AND(ISNUMBER(F696),ISNUMBER(J696),ISNUMBER(I696)),"数量×単価を使いました（金額の欄は使っていません）","")))))))</f>
        <v/>
      </c>
      <c r="N696" s="91">
        <f>IF(AND(B696&lt;&gt;"",B696='案件カード'!$C$3),COUNTIF($B$5:B696,'案件カード'!$C$3),"")</f>
        <v/>
      </c>
      <c r="O696" s="91">
        <f>IF(ISNUMBER(K696),IF(B696="",K696,IF(AND(ISNUMBER(MATCH(B696,'案件'!$A$6:$A$105,0)),OR(D696="材料費",D696="労務費",D696="外注費",D696="経費")),0,K696)),0)</f>
        <v/>
      </c>
    </row>
    <row r="697" ht="16" customHeight="1">
      <c r="A697" s="35" t="n"/>
      <c r="B697" s="36" t="n"/>
      <c r="C697" s="37">
        <f>IF(B697="","",IFERROR(INDEX('案件'!$B$6:$B$105,MATCH(B697,'案件'!$A$6:$A$105,0))&amp;"","（案件シートに無い番号）"))</f>
        <v/>
      </c>
      <c r="D697" s="36" t="n"/>
      <c r="E697" s="38" t="n"/>
      <c r="F697" s="39" t="n"/>
      <c r="G697" s="36" t="n"/>
      <c r="H697" s="40" t="n"/>
      <c r="I697" s="40" t="n"/>
      <c r="J697" s="41">
        <f>IF(ISNUMBER(H697),H697,IF(AND(D697="労務費",TRIM(E697)&lt;&gt;""),IFERROR(INDEX('設定'!$G$12:$G$31,MATCH(TRIM(E697),'設定'!$J$12:$J$31,0)),""),""))</f>
        <v/>
      </c>
      <c r="K697" s="30">
        <f>IF(AND(ISNUMBER(F697),ISNUMBER(J697)),ROUND(F697*J697,0),IF(ISNUMBER(I697),I697,""))</f>
        <v/>
      </c>
      <c r="L697" s="33" t="n"/>
      <c r="M697" s="34">
        <f>IF(COUNTA(A697:B697,D697:I697,L697)=0,"",IF(B697="","案件番号がありません",IF(ISNA(MATCH(B697,'案件'!$A$6:$A$105,0)),"案件シートに無い番号です",IF(NOT(OR(D697="材料費",D697="労務費",D697="外注費",D697="経費")),"費目を4つから選んでください",IF(K697="",IF(AND(ISNUMBER(F697),NOT(ISNUMBER(J697))),IF(D697="労務費","単価がありません（設定の作業者名と同じ書き方に）","単価がありません"),IF(AND(ISNUMBER(J697),NOT(ISNUMBER(F697))),"数量がありません","金額がありません")),IF(NOT(ISNUMBER(A697)),"日付がありません（月別集計に入りません）",IF(AND(ISNUMBER(F697),ISNUMBER(J697),ISNUMBER(I697)),"数量×単価を使いました（金額の欄は使っていません）","")))))))</f>
        <v/>
      </c>
      <c r="N697" s="91">
        <f>IF(AND(B697&lt;&gt;"",B697='案件カード'!$C$3),COUNTIF($B$5:B697,'案件カード'!$C$3),"")</f>
        <v/>
      </c>
      <c r="O697" s="91">
        <f>IF(ISNUMBER(K697),IF(B697="",K697,IF(AND(ISNUMBER(MATCH(B697,'案件'!$A$6:$A$105,0)),OR(D697="材料費",D697="労務費",D697="外注費",D697="経費")),0,K697)),0)</f>
        <v/>
      </c>
    </row>
    <row r="698" ht="16" customHeight="1">
      <c r="A698" s="35" t="n"/>
      <c r="B698" s="36" t="n"/>
      <c r="C698" s="37">
        <f>IF(B698="","",IFERROR(INDEX('案件'!$B$6:$B$105,MATCH(B698,'案件'!$A$6:$A$105,0))&amp;"","（案件シートに無い番号）"))</f>
        <v/>
      </c>
      <c r="D698" s="36" t="n"/>
      <c r="E698" s="38" t="n"/>
      <c r="F698" s="39" t="n"/>
      <c r="G698" s="36" t="n"/>
      <c r="H698" s="40" t="n"/>
      <c r="I698" s="40" t="n"/>
      <c r="J698" s="41">
        <f>IF(ISNUMBER(H698),H698,IF(AND(D698="労務費",TRIM(E698)&lt;&gt;""),IFERROR(INDEX('設定'!$G$12:$G$31,MATCH(TRIM(E698),'設定'!$J$12:$J$31,0)),""),""))</f>
        <v/>
      </c>
      <c r="K698" s="30">
        <f>IF(AND(ISNUMBER(F698),ISNUMBER(J698)),ROUND(F698*J698,0),IF(ISNUMBER(I698),I698,""))</f>
        <v/>
      </c>
      <c r="L698" s="33" t="n"/>
      <c r="M698" s="34">
        <f>IF(COUNTA(A698:B698,D698:I698,L698)=0,"",IF(B698="","案件番号がありません",IF(ISNA(MATCH(B698,'案件'!$A$6:$A$105,0)),"案件シートに無い番号です",IF(NOT(OR(D698="材料費",D698="労務費",D698="外注費",D698="経費")),"費目を4つから選んでください",IF(K698="",IF(AND(ISNUMBER(F698),NOT(ISNUMBER(J698))),IF(D698="労務費","単価がありません（設定の作業者名と同じ書き方に）","単価がありません"),IF(AND(ISNUMBER(J698),NOT(ISNUMBER(F698))),"数量がありません","金額がありません")),IF(NOT(ISNUMBER(A698)),"日付がありません（月別集計に入りません）",IF(AND(ISNUMBER(F698),ISNUMBER(J698),ISNUMBER(I698)),"数量×単価を使いました（金額の欄は使っていません）","")))))))</f>
        <v/>
      </c>
      <c r="N698" s="91">
        <f>IF(AND(B698&lt;&gt;"",B698='案件カード'!$C$3),COUNTIF($B$5:B698,'案件カード'!$C$3),"")</f>
        <v/>
      </c>
      <c r="O698" s="91">
        <f>IF(ISNUMBER(K698),IF(B698="",K698,IF(AND(ISNUMBER(MATCH(B698,'案件'!$A$6:$A$105,0)),OR(D698="材料費",D698="労務費",D698="外注費",D698="経費")),0,K698)),0)</f>
        <v/>
      </c>
    </row>
    <row r="699" ht="16" customHeight="1">
      <c r="A699" s="35" t="n"/>
      <c r="B699" s="36" t="n"/>
      <c r="C699" s="37">
        <f>IF(B699="","",IFERROR(INDEX('案件'!$B$6:$B$105,MATCH(B699,'案件'!$A$6:$A$105,0))&amp;"","（案件シートに無い番号）"))</f>
        <v/>
      </c>
      <c r="D699" s="36" t="n"/>
      <c r="E699" s="38" t="n"/>
      <c r="F699" s="39" t="n"/>
      <c r="G699" s="36" t="n"/>
      <c r="H699" s="40" t="n"/>
      <c r="I699" s="40" t="n"/>
      <c r="J699" s="41">
        <f>IF(ISNUMBER(H699),H699,IF(AND(D699="労務費",TRIM(E699)&lt;&gt;""),IFERROR(INDEX('設定'!$G$12:$G$31,MATCH(TRIM(E699),'設定'!$J$12:$J$31,0)),""),""))</f>
        <v/>
      </c>
      <c r="K699" s="30">
        <f>IF(AND(ISNUMBER(F699),ISNUMBER(J699)),ROUND(F699*J699,0),IF(ISNUMBER(I699),I699,""))</f>
        <v/>
      </c>
      <c r="L699" s="33" t="n"/>
      <c r="M699" s="34">
        <f>IF(COUNTA(A699:B699,D699:I699,L699)=0,"",IF(B699="","案件番号がありません",IF(ISNA(MATCH(B699,'案件'!$A$6:$A$105,0)),"案件シートに無い番号です",IF(NOT(OR(D699="材料費",D699="労務費",D699="外注費",D699="経費")),"費目を4つから選んでください",IF(K699="",IF(AND(ISNUMBER(F699),NOT(ISNUMBER(J699))),IF(D699="労務費","単価がありません（設定の作業者名と同じ書き方に）","単価がありません"),IF(AND(ISNUMBER(J699),NOT(ISNUMBER(F699))),"数量がありません","金額がありません")),IF(NOT(ISNUMBER(A699)),"日付がありません（月別集計に入りません）",IF(AND(ISNUMBER(F699),ISNUMBER(J699),ISNUMBER(I699)),"数量×単価を使いました（金額の欄は使っていません）","")))))))</f>
        <v/>
      </c>
      <c r="N699" s="91">
        <f>IF(AND(B699&lt;&gt;"",B699='案件カード'!$C$3),COUNTIF($B$5:B699,'案件カード'!$C$3),"")</f>
        <v/>
      </c>
      <c r="O699" s="91">
        <f>IF(ISNUMBER(K699),IF(B699="",K699,IF(AND(ISNUMBER(MATCH(B699,'案件'!$A$6:$A$105,0)),OR(D699="材料費",D699="労務費",D699="外注費",D699="経費")),0,K699)),0)</f>
        <v/>
      </c>
    </row>
    <row r="700" ht="16" customHeight="1">
      <c r="A700" s="35" t="n"/>
      <c r="B700" s="36" t="n"/>
      <c r="C700" s="37">
        <f>IF(B700="","",IFERROR(INDEX('案件'!$B$6:$B$105,MATCH(B700,'案件'!$A$6:$A$105,0))&amp;"","（案件シートに無い番号）"))</f>
        <v/>
      </c>
      <c r="D700" s="36" t="n"/>
      <c r="E700" s="38" t="n"/>
      <c r="F700" s="39" t="n"/>
      <c r="G700" s="36" t="n"/>
      <c r="H700" s="40" t="n"/>
      <c r="I700" s="40" t="n"/>
      <c r="J700" s="41">
        <f>IF(ISNUMBER(H700),H700,IF(AND(D700="労務費",TRIM(E700)&lt;&gt;""),IFERROR(INDEX('設定'!$G$12:$G$31,MATCH(TRIM(E700),'設定'!$J$12:$J$31,0)),""),""))</f>
        <v/>
      </c>
      <c r="K700" s="30">
        <f>IF(AND(ISNUMBER(F700),ISNUMBER(J700)),ROUND(F700*J700,0),IF(ISNUMBER(I700),I700,""))</f>
        <v/>
      </c>
      <c r="L700" s="33" t="n"/>
      <c r="M700" s="34">
        <f>IF(COUNTA(A700:B700,D700:I700,L700)=0,"",IF(B700="","案件番号がありません",IF(ISNA(MATCH(B700,'案件'!$A$6:$A$105,0)),"案件シートに無い番号です",IF(NOT(OR(D700="材料費",D700="労務費",D700="外注費",D700="経費")),"費目を4つから選んでください",IF(K700="",IF(AND(ISNUMBER(F700),NOT(ISNUMBER(J700))),IF(D700="労務費","単価がありません（設定の作業者名と同じ書き方に）","単価がありません"),IF(AND(ISNUMBER(J700),NOT(ISNUMBER(F700))),"数量がありません","金額がありません")),IF(NOT(ISNUMBER(A700)),"日付がありません（月別集計に入りません）",IF(AND(ISNUMBER(F700),ISNUMBER(J700),ISNUMBER(I700)),"数量×単価を使いました（金額の欄は使っていません）","")))))))</f>
        <v/>
      </c>
      <c r="N700" s="91">
        <f>IF(AND(B700&lt;&gt;"",B700='案件カード'!$C$3),COUNTIF($B$5:B700,'案件カード'!$C$3),"")</f>
        <v/>
      </c>
      <c r="O700" s="91">
        <f>IF(ISNUMBER(K700),IF(B700="",K700,IF(AND(ISNUMBER(MATCH(B700,'案件'!$A$6:$A$105,0)),OR(D700="材料費",D700="労務費",D700="外注費",D700="経費")),0,K700)),0)</f>
        <v/>
      </c>
    </row>
    <row r="701" ht="16" customHeight="1">
      <c r="A701" s="35" t="n"/>
      <c r="B701" s="36" t="n"/>
      <c r="C701" s="37">
        <f>IF(B701="","",IFERROR(INDEX('案件'!$B$6:$B$105,MATCH(B701,'案件'!$A$6:$A$105,0))&amp;"","（案件シートに無い番号）"))</f>
        <v/>
      </c>
      <c r="D701" s="36" t="n"/>
      <c r="E701" s="38" t="n"/>
      <c r="F701" s="39" t="n"/>
      <c r="G701" s="36" t="n"/>
      <c r="H701" s="40" t="n"/>
      <c r="I701" s="40" t="n"/>
      <c r="J701" s="41">
        <f>IF(ISNUMBER(H701),H701,IF(AND(D701="労務費",TRIM(E701)&lt;&gt;""),IFERROR(INDEX('設定'!$G$12:$G$31,MATCH(TRIM(E701),'設定'!$J$12:$J$31,0)),""),""))</f>
        <v/>
      </c>
      <c r="K701" s="30">
        <f>IF(AND(ISNUMBER(F701),ISNUMBER(J701)),ROUND(F701*J701,0),IF(ISNUMBER(I701),I701,""))</f>
        <v/>
      </c>
      <c r="L701" s="33" t="n"/>
      <c r="M701" s="34">
        <f>IF(COUNTA(A701:B701,D701:I701,L701)=0,"",IF(B701="","案件番号がありません",IF(ISNA(MATCH(B701,'案件'!$A$6:$A$105,0)),"案件シートに無い番号です",IF(NOT(OR(D701="材料費",D701="労務費",D701="外注費",D701="経費")),"費目を4つから選んでください",IF(K701="",IF(AND(ISNUMBER(F701),NOT(ISNUMBER(J701))),IF(D701="労務費","単価がありません（設定の作業者名と同じ書き方に）","単価がありません"),IF(AND(ISNUMBER(J701),NOT(ISNUMBER(F701))),"数量がありません","金額がありません")),IF(NOT(ISNUMBER(A701)),"日付がありません（月別集計に入りません）",IF(AND(ISNUMBER(F701),ISNUMBER(J701),ISNUMBER(I701)),"数量×単価を使いました（金額の欄は使っていません）","")))))))</f>
        <v/>
      </c>
      <c r="N701" s="91">
        <f>IF(AND(B701&lt;&gt;"",B701='案件カード'!$C$3),COUNTIF($B$5:B701,'案件カード'!$C$3),"")</f>
        <v/>
      </c>
      <c r="O701" s="91">
        <f>IF(ISNUMBER(K701),IF(B701="",K701,IF(AND(ISNUMBER(MATCH(B701,'案件'!$A$6:$A$105,0)),OR(D701="材料費",D701="労務費",D701="外注費",D701="経費")),0,K701)),0)</f>
        <v/>
      </c>
    </row>
    <row r="702" ht="16" customHeight="1">
      <c r="A702" s="35" t="n"/>
      <c r="B702" s="36" t="n"/>
      <c r="C702" s="37">
        <f>IF(B702="","",IFERROR(INDEX('案件'!$B$6:$B$105,MATCH(B702,'案件'!$A$6:$A$105,0))&amp;"","（案件シートに無い番号）"))</f>
        <v/>
      </c>
      <c r="D702" s="36" t="n"/>
      <c r="E702" s="38" t="n"/>
      <c r="F702" s="39" t="n"/>
      <c r="G702" s="36" t="n"/>
      <c r="H702" s="40" t="n"/>
      <c r="I702" s="40" t="n"/>
      <c r="J702" s="41">
        <f>IF(ISNUMBER(H702),H702,IF(AND(D702="労務費",TRIM(E702)&lt;&gt;""),IFERROR(INDEX('設定'!$G$12:$G$31,MATCH(TRIM(E702),'設定'!$J$12:$J$31,0)),""),""))</f>
        <v/>
      </c>
      <c r="K702" s="30">
        <f>IF(AND(ISNUMBER(F702),ISNUMBER(J702)),ROUND(F702*J702,0),IF(ISNUMBER(I702),I702,""))</f>
        <v/>
      </c>
      <c r="L702" s="33" t="n"/>
      <c r="M702" s="34">
        <f>IF(COUNTA(A702:B702,D702:I702,L702)=0,"",IF(B702="","案件番号がありません",IF(ISNA(MATCH(B702,'案件'!$A$6:$A$105,0)),"案件シートに無い番号です",IF(NOT(OR(D702="材料費",D702="労務費",D702="外注費",D702="経費")),"費目を4つから選んでください",IF(K702="",IF(AND(ISNUMBER(F702),NOT(ISNUMBER(J702))),IF(D702="労務費","単価がありません（設定の作業者名と同じ書き方に）","単価がありません"),IF(AND(ISNUMBER(J702),NOT(ISNUMBER(F702))),"数量がありません","金額がありません")),IF(NOT(ISNUMBER(A702)),"日付がありません（月別集計に入りません）",IF(AND(ISNUMBER(F702),ISNUMBER(J702),ISNUMBER(I702)),"数量×単価を使いました（金額の欄は使っていません）","")))))))</f>
        <v/>
      </c>
      <c r="N702" s="91">
        <f>IF(AND(B702&lt;&gt;"",B702='案件カード'!$C$3),COUNTIF($B$5:B702,'案件カード'!$C$3),"")</f>
        <v/>
      </c>
      <c r="O702" s="91">
        <f>IF(ISNUMBER(K702),IF(B702="",K702,IF(AND(ISNUMBER(MATCH(B702,'案件'!$A$6:$A$105,0)),OR(D702="材料費",D702="労務費",D702="外注費",D702="経費")),0,K702)),0)</f>
        <v/>
      </c>
    </row>
    <row r="703" ht="16" customHeight="1">
      <c r="A703" s="35" t="n"/>
      <c r="B703" s="36" t="n"/>
      <c r="C703" s="37">
        <f>IF(B703="","",IFERROR(INDEX('案件'!$B$6:$B$105,MATCH(B703,'案件'!$A$6:$A$105,0))&amp;"","（案件シートに無い番号）"))</f>
        <v/>
      </c>
      <c r="D703" s="36" t="n"/>
      <c r="E703" s="38" t="n"/>
      <c r="F703" s="39" t="n"/>
      <c r="G703" s="36" t="n"/>
      <c r="H703" s="40" t="n"/>
      <c r="I703" s="40" t="n"/>
      <c r="J703" s="41">
        <f>IF(ISNUMBER(H703),H703,IF(AND(D703="労務費",TRIM(E703)&lt;&gt;""),IFERROR(INDEX('設定'!$G$12:$G$31,MATCH(TRIM(E703),'設定'!$J$12:$J$31,0)),""),""))</f>
        <v/>
      </c>
      <c r="K703" s="30">
        <f>IF(AND(ISNUMBER(F703),ISNUMBER(J703)),ROUND(F703*J703,0),IF(ISNUMBER(I703),I703,""))</f>
        <v/>
      </c>
      <c r="L703" s="33" t="n"/>
      <c r="M703" s="34">
        <f>IF(COUNTA(A703:B703,D703:I703,L703)=0,"",IF(B703="","案件番号がありません",IF(ISNA(MATCH(B703,'案件'!$A$6:$A$105,0)),"案件シートに無い番号です",IF(NOT(OR(D703="材料費",D703="労務費",D703="外注費",D703="経費")),"費目を4つから選んでください",IF(K703="",IF(AND(ISNUMBER(F703),NOT(ISNUMBER(J703))),IF(D703="労務費","単価がありません（設定の作業者名と同じ書き方に）","単価がありません"),IF(AND(ISNUMBER(J703),NOT(ISNUMBER(F703))),"数量がありません","金額がありません")),IF(NOT(ISNUMBER(A703)),"日付がありません（月別集計に入りません）",IF(AND(ISNUMBER(F703),ISNUMBER(J703),ISNUMBER(I703)),"数量×単価を使いました（金額の欄は使っていません）","")))))))</f>
        <v/>
      </c>
      <c r="N703" s="91">
        <f>IF(AND(B703&lt;&gt;"",B703='案件カード'!$C$3),COUNTIF($B$5:B703,'案件カード'!$C$3),"")</f>
        <v/>
      </c>
      <c r="O703" s="91">
        <f>IF(ISNUMBER(K703),IF(B703="",K703,IF(AND(ISNUMBER(MATCH(B703,'案件'!$A$6:$A$105,0)),OR(D703="材料費",D703="労務費",D703="外注費",D703="経費")),0,K703)),0)</f>
        <v/>
      </c>
    </row>
    <row r="704" ht="16" customHeight="1">
      <c r="A704" s="35" t="n"/>
      <c r="B704" s="36" t="n"/>
      <c r="C704" s="37">
        <f>IF(B704="","",IFERROR(INDEX('案件'!$B$6:$B$105,MATCH(B704,'案件'!$A$6:$A$105,0))&amp;"","（案件シートに無い番号）"))</f>
        <v/>
      </c>
      <c r="D704" s="36" t="n"/>
      <c r="E704" s="38" t="n"/>
      <c r="F704" s="39" t="n"/>
      <c r="G704" s="36" t="n"/>
      <c r="H704" s="40" t="n"/>
      <c r="I704" s="40" t="n"/>
      <c r="J704" s="41">
        <f>IF(ISNUMBER(H704),H704,IF(AND(D704="労務費",TRIM(E704)&lt;&gt;""),IFERROR(INDEX('設定'!$G$12:$G$31,MATCH(TRIM(E704),'設定'!$J$12:$J$31,0)),""),""))</f>
        <v/>
      </c>
      <c r="K704" s="30">
        <f>IF(AND(ISNUMBER(F704),ISNUMBER(J704)),ROUND(F704*J704,0),IF(ISNUMBER(I704),I704,""))</f>
        <v/>
      </c>
      <c r="L704" s="33" t="n"/>
      <c r="M704" s="34">
        <f>IF(COUNTA(A704:B704,D704:I704,L704)=0,"",IF(B704="","案件番号がありません",IF(ISNA(MATCH(B704,'案件'!$A$6:$A$105,0)),"案件シートに無い番号です",IF(NOT(OR(D704="材料費",D704="労務費",D704="外注費",D704="経費")),"費目を4つから選んでください",IF(K704="",IF(AND(ISNUMBER(F704),NOT(ISNUMBER(J704))),IF(D704="労務費","単価がありません（設定の作業者名と同じ書き方に）","単価がありません"),IF(AND(ISNUMBER(J704),NOT(ISNUMBER(F704))),"数量がありません","金額がありません")),IF(NOT(ISNUMBER(A704)),"日付がありません（月別集計に入りません）",IF(AND(ISNUMBER(F704),ISNUMBER(J704),ISNUMBER(I704)),"数量×単価を使いました（金額の欄は使っていません）","")))))))</f>
        <v/>
      </c>
      <c r="N704" s="91">
        <f>IF(AND(B704&lt;&gt;"",B704='案件カード'!$C$3),COUNTIF($B$5:B704,'案件カード'!$C$3),"")</f>
        <v/>
      </c>
      <c r="O704" s="91">
        <f>IF(ISNUMBER(K704),IF(B704="",K704,IF(AND(ISNUMBER(MATCH(B704,'案件'!$A$6:$A$105,0)),OR(D704="材料費",D704="労務費",D704="外注費",D704="経費")),0,K704)),0)</f>
        <v/>
      </c>
    </row>
    <row r="705" ht="16" customHeight="1">
      <c r="A705" s="35" t="n"/>
      <c r="B705" s="36" t="n"/>
      <c r="C705" s="37">
        <f>IF(B705="","",IFERROR(INDEX('案件'!$B$6:$B$105,MATCH(B705,'案件'!$A$6:$A$105,0))&amp;"","（案件シートに無い番号）"))</f>
        <v/>
      </c>
      <c r="D705" s="36" t="n"/>
      <c r="E705" s="38" t="n"/>
      <c r="F705" s="39" t="n"/>
      <c r="G705" s="36" t="n"/>
      <c r="H705" s="40" t="n"/>
      <c r="I705" s="40" t="n"/>
      <c r="J705" s="41">
        <f>IF(ISNUMBER(H705),H705,IF(AND(D705="労務費",TRIM(E705)&lt;&gt;""),IFERROR(INDEX('設定'!$G$12:$G$31,MATCH(TRIM(E705),'設定'!$J$12:$J$31,0)),""),""))</f>
        <v/>
      </c>
      <c r="K705" s="30">
        <f>IF(AND(ISNUMBER(F705),ISNUMBER(J705)),ROUND(F705*J705,0),IF(ISNUMBER(I705),I705,""))</f>
        <v/>
      </c>
      <c r="L705" s="33" t="n"/>
      <c r="M705" s="34">
        <f>IF(COUNTA(A705:B705,D705:I705,L705)=0,"",IF(B705="","案件番号がありません",IF(ISNA(MATCH(B705,'案件'!$A$6:$A$105,0)),"案件シートに無い番号です",IF(NOT(OR(D705="材料費",D705="労務費",D705="外注費",D705="経費")),"費目を4つから選んでください",IF(K705="",IF(AND(ISNUMBER(F705),NOT(ISNUMBER(J705))),IF(D705="労務費","単価がありません（設定の作業者名と同じ書き方に）","単価がありません"),IF(AND(ISNUMBER(J705),NOT(ISNUMBER(F705))),"数量がありません","金額がありません")),IF(NOT(ISNUMBER(A705)),"日付がありません（月別集計に入りません）",IF(AND(ISNUMBER(F705),ISNUMBER(J705),ISNUMBER(I705)),"数量×単価を使いました（金額の欄は使っていません）","")))))))</f>
        <v/>
      </c>
      <c r="N705" s="91">
        <f>IF(AND(B705&lt;&gt;"",B705='案件カード'!$C$3),COUNTIF($B$5:B705,'案件カード'!$C$3),"")</f>
        <v/>
      </c>
      <c r="O705" s="91">
        <f>IF(ISNUMBER(K705),IF(B705="",K705,IF(AND(ISNUMBER(MATCH(B705,'案件'!$A$6:$A$105,0)),OR(D705="材料費",D705="労務費",D705="外注費",D705="経費")),0,K705)),0)</f>
        <v/>
      </c>
    </row>
    <row r="706" ht="16" customHeight="1">
      <c r="A706" s="35" t="n"/>
      <c r="B706" s="36" t="n"/>
      <c r="C706" s="37">
        <f>IF(B706="","",IFERROR(INDEX('案件'!$B$6:$B$105,MATCH(B706,'案件'!$A$6:$A$105,0))&amp;"","（案件シートに無い番号）"))</f>
        <v/>
      </c>
      <c r="D706" s="36" t="n"/>
      <c r="E706" s="38" t="n"/>
      <c r="F706" s="39" t="n"/>
      <c r="G706" s="36" t="n"/>
      <c r="H706" s="40" t="n"/>
      <c r="I706" s="40" t="n"/>
      <c r="J706" s="41">
        <f>IF(ISNUMBER(H706),H706,IF(AND(D706="労務費",TRIM(E706)&lt;&gt;""),IFERROR(INDEX('設定'!$G$12:$G$31,MATCH(TRIM(E706),'設定'!$J$12:$J$31,0)),""),""))</f>
        <v/>
      </c>
      <c r="K706" s="30">
        <f>IF(AND(ISNUMBER(F706),ISNUMBER(J706)),ROUND(F706*J706,0),IF(ISNUMBER(I706),I706,""))</f>
        <v/>
      </c>
      <c r="L706" s="33" t="n"/>
      <c r="M706" s="34">
        <f>IF(COUNTA(A706:B706,D706:I706,L706)=0,"",IF(B706="","案件番号がありません",IF(ISNA(MATCH(B706,'案件'!$A$6:$A$105,0)),"案件シートに無い番号です",IF(NOT(OR(D706="材料費",D706="労務費",D706="外注費",D706="経費")),"費目を4つから選んでください",IF(K706="",IF(AND(ISNUMBER(F706),NOT(ISNUMBER(J706))),IF(D706="労務費","単価がありません（設定の作業者名と同じ書き方に）","単価がありません"),IF(AND(ISNUMBER(J706),NOT(ISNUMBER(F706))),"数量がありません","金額がありません")),IF(NOT(ISNUMBER(A706)),"日付がありません（月別集計に入りません）",IF(AND(ISNUMBER(F706),ISNUMBER(J706),ISNUMBER(I706)),"数量×単価を使いました（金額の欄は使っていません）","")))))))</f>
        <v/>
      </c>
      <c r="N706" s="91">
        <f>IF(AND(B706&lt;&gt;"",B706='案件カード'!$C$3),COUNTIF($B$5:B706,'案件カード'!$C$3),"")</f>
        <v/>
      </c>
      <c r="O706" s="91">
        <f>IF(ISNUMBER(K706),IF(B706="",K706,IF(AND(ISNUMBER(MATCH(B706,'案件'!$A$6:$A$105,0)),OR(D706="材料費",D706="労務費",D706="外注費",D706="経費")),0,K706)),0)</f>
        <v/>
      </c>
    </row>
    <row r="707" ht="16" customHeight="1">
      <c r="A707" s="35" t="n"/>
      <c r="B707" s="36" t="n"/>
      <c r="C707" s="37">
        <f>IF(B707="","",IFERROR(INDEX('案件'!$B$6:$B$105,MATCH(B707,'案件'!$A$6:$A$105,0))&amp;"","（案件シートに無い番号）"))</f>
        <v/>
      </c>
      <c r="D707" s="36" t="n"/>
      <c r="E707" s="38" t="n"/>
      <c r="F707" s="39" t="n"/>
      <c r="G707" s="36" t="n"/>
      <c r="H707" s="40" t="n"/>
      <c r="I707" s="40" t="n"/>
      <c r="J707" s="41">
        <f>IF(ISNUMBER(H707),H707,IF(AND(D707="労務費",TRIM(E707)&lt;&gt;""),IFERROR(INDEX('設定'!$G$12:$G$31,MATCH(TRIM(E707),'設定'!$J$12:$J$31,0)),""),""))</f>
        <v/>
      </c>
      <c r="K707" s="30">
        <f>IF(AND(ISNUMBER(F707),ISNUMBER(J707)),ROUND(F707*J707,0),IF(ISNUMBER(I707),I707,""))</f>
        <v/>
      </c>
      <c r="L707" s="33" t="n"/>
      <c r="M707" s="34">
        <f>IF(COUNTA(A707:B707,D707:I707,L707)=0,"",IF(B707="","案件番号がありません",IF(ISNA(MATCH(B707,'案件'!$A$6:$A$105,0)),"案件シートに無い番号です",IF(NOT(OR(D707="材料費",D707="労務費",D707="外注費",D707="経費")),"費目を4つから選んでください",IF(K707="",IF(AND(ISNUMBER(F707),NOT(ISNUMBER(J707))),IF(D707="労務費","単価がありません（設定の作業者名と同じ書き方に）","単価がありません"),IF(AND(ISNUMBER(J707),NOT(ISNUMBER(F707))),"数量がありません","金額がありません")),IF(NOT(ISNUMBER(A707)),"日付がありません（月別集計に入りません）",IF(AND(ISNUMBER(F707),ISNUMBER(J707),ISNUMBER(I707)),"数量×単価を使いました（金額の欄は使っていません）","")))))))</f>
        <v/>
      </c>
      <c r="N707" s="91">
        <f>IF(AND(B707&lt;&gt;"",B707='案件カード'!$C$3),COUNTIF($B$5:B707,'案件カード'!$C$3),"")</f>
        <v/>
      </c>
      <c r="O707" s="91">
        <f>IF(ISNUMBER(K707),IF(B707="",K707,IF(AND(ISNUMBER(MATCH(B707,'案件'!$A$6:$A$105,0)),OR(D707="材料費",D707="労務費",D707="外注費",D707="経費")),0,K707)),0)</f>
        <v/>
      </c>
    </row>
    <row r="708" ht="16" customHeight="1">
      <c r="A708" s="35" t="n"/>
      <c r="B708" s="36" t="n"/>
      <c r="C708" s="37">
        <f>IF(B708="","",IFERROR(INDEX('案件'!$B$6:$B$105,MATCH(B708,'案件'!$A$6:$A$105,0))&amp;"","（案件シートに無い番号）"))</f>
        <v/>
      </c>
      <c r="D708" s="36" t="n"/>
      <c r="E708" s="38" t="n"/>
      <c r="F708" s="39" t="n"/>
      <c r="G708" s="36" t="n"/>
      <c r="H708" s="40" t="n"/>
      <c r="I708" s="40" t="n"/>
      <c r="J708" s="41">
        <f>IF(ISNUMBER(H708),H708,IF(AND(D708="労務費",TRIM(E708)&lt;&gt;""),IFERROR(INDEX('設定'!$G$12:$G$31,MATCH(TRIM(E708),'設定'!$J$12:$J$31,0)),""),""))</f>
        <v/>
      </c>
      <c r="K708" s="30">
        <f>IF(AND(ISNUMBER(F708),ISNUMBER(J708)),ROUND(F708*J708,0),IF(ISNUMBER(I708),I708,""))</f>
        <v/>
      </c>
      <c r="L708" s="33" t="n"/>
      <c r="M708" s="34">
        <f>IF(COUNTA(A708:B708,D708:I708,L708)=0,"",IF(B708="","案件番号がありません",IF(ISNA(MATCH(B708,'案件'!$A$6:$A$105,0)),"案件シートに無い番号です",IF(NOT(OR(D708="材料費",D708="労務費",D708="外注費",D708="経費")),"費目を4つから選んでください",IF(K708="",IF(AND(ISNUMBER(F708),NOT(ISNUMBER(J708))),IF(D708="労務費","単価がありません（設定の作業者名と同じ書き方に）","単価がありません"),IF(AND(ISNUMBER(J708),NOT(ISNUMBER(F708))),"数量がありません","金額がありません")),IF(NOT(ISNUMBER(A708)),"日付がありません（月別集計に入りません）",IF(AND(ISNUMBER(F708),ISNUMBER(J708),ISNUMBER(I708)),"数量×単価を使いました（金額の欄は使っていません）","")))))))</f>
        <v/>
      </c>
      <c r="N708" s="91">
        <f>IF(AND(B708&lt;&gt;"",B708='案件カード'!$C$3),COUNTIF($B$5:B708,'案件カード'!$C$3),"")</f>
        <v/>
      </c>
      <c r="O708" s="91">
        <f>IF(ISNUMBER(K708),IF(B708="",K708,IF(AND(ISNUMBER(MATCH(B708,'案件'!$A$6:$A$105,0)),OR(D708="材料費",D708="労務費",D708="外注費",D708="経費")),0,K708)),0)</f>
        <v/>
      </c>
    </row>
    <row r="709" ht="16" customHeight="1">
      <c r="A709" s="35" t="n"/>
      <c r="B709" s="36" t="n"/>
      <c r="C709" s="37">
        <f>IF(B709="","",IFERROR(INDEX('案件'!$B$6:$B$105,MATCH(B709,'案件'!$A$6:$A$105,0))&amp;"","（案件シートに無い番号）"))</f>
        <v/>
      </c>
      <c r="D709" s="36" t="n"/>
      <c r="E709" s="38" t="n"/>
      <c r="F709" s="39" t="n"/>
      <c r="G709" s="36" t="n"/>
      <c r="H709" s="40" t="n"/>
      <c r="I709" s="40" t="n"/>
      <c r="J709" s="41">
        <f>IF(ISNUMBER(H709),H709,IF(AND(D709="労務費",TRIM(E709)&lt;&gt;""),IFERROR(INDEX('設定'!$G$12:$G$31,MATCH(TRIM(E709),'設定'!$J$12:$J$31,0)),""),""))</f>
        <v/>
      </c>
      <c r="K709" s="30">
        <f>IF(AND(ISNUMBER(F709),ISNUMBER(J709)),ROUND(F709*J709,0),IF(ISNUMBER(I709),I709,""))</f>
        <v/>
      </c>
      <c r="L709" s="33" t="n"/>
      <c r="M709" s="34">
        <f>IF(COUNTA(A709:B709,D709:I709,L709)=0,"",IF(B709="","案件番号がありません",IF(ISNA(MATCH(B709,'案件'!$A$6:$A$105,0)),"案件シートに無い番号です",IF(NOT(OR(D709="材料費",D709="労務費",D709="外注費",D709="経費")),"費目を4つから選んでください",IF(K709="",IF(AND(ISNUMBER(F709),NOT(ISNUMBER(J709))),IF(D709="労務費","単価がありません（設定の作業者名と同じ書き方に）","単価がありません"),IF(AND(ISNUMBER(J709),NOT(ISNUMBER(F709))),"数量がありません","金額がありません")),IF(NOT(ISNUMBER(A709)),"日付がありません（月別集計に入りません）",IF(AND(ISNUMBER(F709),ISNUMBER(J709),ISNUMBER(I709)),"数量×単価を使いました（金額の欄は使っていません）","")))))))</f>
        <v/>
      </c>
      <c r="N709" s="91">
        <f>IF(AND(B709&lt;&gt;"",B709='案件カード'!$C$3),COUNTIF($B$5:B709,'案件カード'!$C$3),"")</f>
        <v/>
      </c>
      <c r="O709" s="91">
        <f>IF(ISNUMBER(K709),IF(B709="",K709,IF(AND(ISNUMBER(MATCH(B709,'案件'!$A$6:$A$105,0)),OR(D709="材料費",D709="労務費",D709="外注費",D709="経費")),0,K709)),0)</f>
        <v/>
      </c>
    </row>
    <row r="710" ht="16" customHeight="1">
      <c r="A710" s="35" t="n"/>
      <c r="B710" s="36" t="n"/>
      <c r="C710" s="37">
        <f>IF(B710="","",IFERROR(INDEX('案件'!$B$6:$B$105,MATCH(B710,'案件'!$A$6:$A$105,0))&amp;"","（案件シートに無い番号）"))</f>
        <v/>
      </c>
      <c r="D710" s="36" t="n"/>
      <c r="E710" s="38" t="n"/>
      <c r="F710" s="39" t="n"/>
      <c r="G710" s="36" t="n"/>
      <c r="H710" s="40" t="n"/>
      <c r="I710" s="40" t="n"/>
      <c r="J710" s="41">
        <f>IF(ISNUMBER(H710),H710,IF(AND(D710="労務費",TRIM(E710)&lt;&gt;""),IFERROR(INDEX('設定'!$G$12:$G$31,MATCH(TRIM(E710),'設定'!$J$12:$J$31,0)),""),""))</f>
        <v/>
      </c>
      <c r="K710" s="30">
        <f>IF(AND(ISNUMBER(F710),ISNUMBER(J710)),ROUND(F710*J710,0),IF(ISNUMBER(I710),I710,""))</f>
        <v/>
      </c>
      <c r="L710" s="33" t="n"/>
      <c r="M710" s="34">
        <f>IF(COUNTA(A710:B710,D710:I710,L710)=0,"",IF(B710="","案件番号がありません",IF(ISNA(MATCH(B710,'案件'!$A$6:$A$105,0)),"案件シートに無い番号です",IF(NOT(OR(D710="材料費",D710="労務費",D710="外注費",D710="経費")),"費目を4つから選んでください",IF(K710="",IF(AND(ISNUMBER(F710),NOT(ISNUMBER(J710))),IF(D710="労務費","単価がありません（設定の作業者名と同じ書き方に）","単価がありません"),IF(AND(ISNUMBER(J710),NOT(ISNUMBER(F710))),"数量がありません","金額がありません")),IF(NOT(ISNUMBER(A710)),"日付がありません（月別集計に入りません）",IF(AND(ISNUMBER(F710),ISNUMBER(J710),ISNUMBER(I710)),"数量×単価を使いました（金額の欄は使っていません）","")))))))</f>
        <v/>
      </c>
      <c r="N710" s="91">
        <f>IF(AND(B710&lt;&gt;"",B710='案件カード'!$C$3),COUNTIF($B$5:B710,'案件カード'!$C$3),"")</f>
        <v/>
      </c>
      <c r="O710" s="91">
        <f>IF(ISNUMBER(K710),IF(B710="",K710,IF(AND(ISNUMBER(MATCH(B710,'案件'!$A$6:$A$105,0)),OR(D710="材料費",D710="労務費",D710="外注費",D710="経費")),0,K710)),0)</f>
        <v/>
      </c>
    </row>
    <row r="711" ht="16" customHeight="1">
      <c r="A711" s="35" t="n"/>
      <c r="B711" s="36" t="n"/>
      <c r="C711" s="37">
        <f>IF(B711="","",IFERROR(INDEX('案件'!$B$6:$B$105,MATCH(B711,'案件'!$A$6:$A$105,0))&amp;"","（案件シートに無い番号）"))</f>
        <v/>
      </c>
      <c r="D711" s="36" t="n"/>
      <c r="E711" s="38" t="n"/>
      <c r="F711" s="39" t="n"/>
      <c r="G711" s="36" t="n"/>
      <c r="H711" s="40" t="n"/>
      <c r="I711" s="40" t="n"/>
      <c r="J711" s="41">
        <f>IF(ISNUMBER(H711),H711,IF(AND(D711="労務費",TRIM(E711)&lt;&gt;""),IFERROR(INDEX('設定'!$G$12:$G$31,MATCH(TRIM(E711),'設定'!$J$12:$J$31,0)),""),""))</f>
        <v/>
      </c>
      <c r="K711" s="30">
        <f>IF(AND(ISNUMBER(F711),ISNUMBER(J711)),ROUND(F711*J711,0),IF(ISNUMBER(I711),I711,""))</f>
        <v/>
      </c>
      <c r="L711" s="33" t="n"/>
      <c r="M711" s="34">
        <f>IF(COUNTA(A711:B711,D711:I711,L711)=0,"",IF(B711="","案件番号がありません",IF(ISNA(MATCH(B711,'案件'!$A$6:$A$105,0)),"案件シートに無い番号です",IF(NOT(OR(D711="材料費",D711="労務費",D711="外注費",D711="経費")),"費目を4つから選んでください",IF(K711="",IF(AND(ISNUMBER(F711),NOT(ISNUMBER(J711))),IF(D711="労務費","単価がありません（設定の作業者名と同じ書き方に）","単価がありません"),IF(AND(ISNUMBER(J711),NOT(ISNUMBER(F711))),"数量がありません","金額がありません")),IF(NOT(ISNUMBER(A711)),"日付がありません（月別集計に入りません）",IF(AND(ISNUMBER(F711),ISNUMBER(J711),ISNUMBER(I711)),"数量×単価を使いました（金額の欄は使っていません）","")))))))</f>
        <v/>
      </c>
      <c r="N711" s="91">
        <f>IF(AND(B711&lt;&gt;"",B711='案件カード'!$C$3),COUNTIF($B$5:B711,'案件カード'!$C$3),"")</f>
        <v/>
      </c>
      <c r="O711" s="91">
        <f>IF(ISNUMBER(K711),IF(B711="",K711,IF(AND(ISNUMBER(MATCH(B711,'案件'!$A$6:$A$105,0)),OR(D711="材料費",D711="労務費",D711="外注費",D711="経費")),0,K711)),0)</f>
        <v/>
      </c>
    </row>
    <row r="712" ht="16" customHeight="1">
      <c r="A712" s="35" t="n"/>
      <c r="B712" s="36" t="n"/>
      <c r="C712" s="37">
        <f>IF(B712="","",IFERROR(INDEX('案件'!$B$6:$B$105,MATCH(B712,'案件'!$A$6:$A$105,0))&amp;"","（案件シートに無い番号）"))</f>
        <v/>
      </c>
      <c r="D712" s="36" t="n"/>
      <c r="E712" s="38" t="n"/>
      <c r="F712" s="39" t="n"/>
      <c r="G712" s="36" t="n"/>
      <c r="H712" s="40" t="n"/>
      <c r="I712" s="40" t="n"/>
      <c r="J712" s="41">
        <f>IF(ISNUMBER(H712),H712,IF(AND(D712="労務費",TRIM(E712)&lt;&gt;""),IFERROR(INDEX('設定'!$G$12:$G$31,MATCH(TRIM(E712),'設定'!$J$12:$J$31,0)),""),""))</f>
        <v/>
      </c>
      <c r="K712" s="30">
        <f>IF(AND(ISNUMBER(F712),ISNUMBER(J712)),ROUND(F712*J712,0),IF(ISNUMBER(I712),I712,""))</f>
        <v/>
      </c>
      <c r="L712" s="33" t="n"/>
      <c r="M712" s="34">
        <f>IF(COUNTA(A712:B712,D712:I712,L712)=0,"",IF(B712="","案件番号がありません",IF(ISNA(MATCH(B712,'案件'!$A$6:$A$105,0)),"案件シートに無い番号です",IF(NOT(OR(D712="材料費",D712="労務費",D712="外注費",D712="経費")),"費目を4つから選んでください",IF(K712="",IF(AND(ISNUMBER(F712),NOT(ISNUMBER(J712))),IF(D712="労務費","単価がありません（設定の作業者名と同じ書き方に）","単価がありません"),IF(AND(ISNUMBER(J712),NOT(ISNUMBER(F712))),"数量がありません","金額がありません")),IF(NOT(ISNUMBER(A712)),"日付がありません（月別集計に入りません）",IF(AND(ISNUMBER(F712),ISNUMBER(J712),ISNUMBER(I712)),"数量×単価を使いました（金額の欄は使っていません）","")))))))</f>
        <v/>
      </c>
      <c r="N712" s="91">
        <f>IF(AND(B712&lt;&gt;"",B712='案件カード'!$C$3),COUNTIF($B$5:B712,'案件カード'!$C$3),"")</f>
        <v/>
      </c>
      <c r="O712" s="91">
        <f>IF(ISNUMBER(K712),IF(B712="",K712,IF(AND(ISNUMBER(MATCH(B712,'案件'!$A$6:$A$105,0)),OR(D712="材料費",D712="労務費",D712="外注費",D712="経費")),0,K712)),0)</f>
        <v/>
      </c>
    </row>
    <row r="713" ht="16" customHeight="1">
      <c r="A713" s="35" t="n"/>
      <c r="B713" s="36" t="n"/>
      <c r="C713" s="37">
        <f>IF(B713="","",IFERROR(INDEX('案件'!$B$6:$B$105,MATCH(B713,'案件'!$A$6:$A$105,0))&amp;"","（案件シートに無い番号）"))</f>
        <v/>
      </c>
      <c r="D713" s="36" t="n"/>
      <c r="E713" s="38" t="n"/>
      <c r="F713" s="39" t="n"/>
      <c r="G713" s="36" t="n"/>
      <c r="H713" s="40" t="n"/>
      <c r="I713" s="40" t="n"/>
      <c r="J713" s="41">
        <f>IF(ISNUMBER(H713),H713,IF(AND(D713="労務費",TRIM(E713)&lt;&gt;""),IFERROR(INDEX('設定'!$G$12:$G$31,MATCH(TRIM(E713),'設定'!$J$12:$J$31,0)),""),""))</f>
        <v/>
      </c>
      <c r="K713" s="30">
        <f>IF(AND(ISNUMBER(F713),ISNUMBER(J713)),ROUND(F713*J713,0),IF(ISNUMBER(I713),I713,""))</f>
        <v/>
      </c>
      <c r="L713" s="33" t="n"/>
      <c r="M713" s="34">
        <f>IF(COUNTA(A713:B713,D713:I713,L713)=0,"",IF(B713="","案件番号がありません",IF(ISNA(MATCH(B713,'案件'!$A$6:$A$105,0)),"案件シートに無い番号です",IF(NOT(OR(D713="材料費",D713="労務費",D713="外注費",D713="経費")),"費目を4つから選んでください",IF(K713="",IF(AND(ISNUMBER(F713),NOT(ISNUMBER(J713))),IF(D713="労務費","単価がありません（設定の作業者名と同じ書き方に）","単価がありません"),IF(AND(ISNUMBER(J713),NOT(ISNUMBER(F713))),"数量がありません","金額がありません")),IF(NOT(ISNUMBER(A713)),"日付がありません（月別集計に入りません）",IF(AND(ISNUMBER(F713),ISNUMBER(J713),ISNUMBER(I713)),"数量×単価を使いました（金額の欄は使っていません）","")))))))</f>
        <v/>
      </c>
      <c r="N713" s="91">
        <f>IF(AND(B713&lt;&gt;"",B713='案件カード'!$C$3),COUNTIF($B$5:B713,'案件カード'!$C$3),"")</f>
        <v/>
      </c>
      <c r="O713" s="91">
        <f>IF(ISNUMBER(K713),IF(B713="",K713,IF(AND(ISNUMBER(MATCH(B713,'案件'!$A$6:$A$105,0)),OR(D713="材料費",D713="労務費",D713="外注費",D713="経費")),0,K713)),0)</f>
        <v/>
      </c>
    </row>
    <row r="714" ht="16" customHeight="1">
      <c r="A714" s="35" t="n"/>
      <c r="B714" s="36" t="n"/>
      <c r="C714" s="37">
        <f>IF(B714="","",IFERROR(INDEX('案件'!$B$6:$B$105,MATCH(B714,'案件'!$A$6:$A$105,0))&amp;"","（案件シートに無い番号）"))</f>
        <v/>
      </c>
      <c r="D714" s="36" t="n"/>
      <c r="E714" s="38" t="n"/>
      <c r="F714" s="39" t="n"/>
      <c r="G714" s="36" t="n"/>
      <c r="H714" s="40" t="n"/>
      <c r="I714" s="40" t="n"/>
      <c r="J714" s="41">
        <f>IF(ISNUMBER(H714),H714,IF(AND(D714="労務費",TRIM(E714)&lt;&gt;""),IFERROR(INDEX('設定'!$G$12:$G$31,MATCH(TRIM(E714),'設定'!$J$12:$J$31,0)),""),""))</f>
        <v/>
      </c>
      <c r="K714" s="30">
        <f>IF(AND(ISNUMBER(F714),ISNUMBER(J714)),ROUND(F714*J714,0),IF(ISNUMBER(I714),I714,""))</f>
        <v/>
      </c>
      <c r="L714" s="33" t="n"/>
      <c r="M714" s="34">
        <f>IF(COUNTA(A714:B714,D714:I714,L714)=0,"",IF(B714="","案件番号がありません",IF(ISNA(MATCH(B714,'案件'!$A$6:$A$105,0)),"案件シートに無い番号です",IF(NOT(OR(D714="材料費",D714="労務費",D714="外注費",D714="経費")),"費目を4つから選んでください",IF(K714="",IF(AND(ISNUMBER(F714),NOT(ISNUMBER(J714))),IF(D714="労務費","単価がありません（設定の作業者名と同じ書き方に）","単価がありません"),IF(AND(ISNUMBER(J714),NOT(ISNUMBER(F714))),"数量がありません","金額がありません")),IF(NOT(ISNUMBER(A714)),"日付がありません（月別集計に入りません）",IF(AND(ISNUMBER(F714),ISNUMBER(J714),ISNUMBER(I714)),"数量×単価を使いました（金額の欄は使っていません）","")))))))</f>
        <v/>
      </c>
      <c r="N714" s="91">
        <f>IF(AND(B714&lt;&gt;"",B714='案件カード'!$C$3),COUNTIF($B$5:B714,'案件カード'!$C$3),"")</f>
        <v/>
      </c>
      <c r="O714" s="91">
        <f>IF(ISNUMBER(K714),IF(B714="",K714,IF(AND(ISNUMBER(MATCH(B714,'案件'!$A$6:$A$105,0)),OR(D714="材料費",D714="労務費",D714="外注費",D714="経費")),0,K714)),0)</f>
        <v/>
      </c>
    </row>
    <row r="715" ht="16" customHeight="1">
      <c r="A715" s="35" t="n"/>
      <c r="B715" s="36" t="n"/>
      <c r="C715" s="37">
        <f>IF(B715="","",IFERROR(INDEX('案件'!$B$6:$B$105,MATCH(B715,'案件'!$A$6:$A$105,0))&amp;"","（案件シートに無い番号）"))</f>
        <v/>
      </c>
      <c r="D715" s="36" t="n"/>
      <c r="E715" s="38" t="n"/>
      <c r="F715" s="39" t="n"/>
      <c r="G715" s="36" t="n"/>
      <c r="H715" s="40" t="n"/>
      <c r="I715" s="40" t="n"/>
      <c r="J715" s="41">
        <f>IF(ISNUMBER(H715),H715,IF(AND(D715="労務費",TRIM(E715)&lt;&gt;""),IFERROR(INDEX('設定'!$G$12:$G$31,MATCH(TRIM(E715),'設定'!$J$12:$J$31,0)),""),""))</f>
        <v/>
      </c>
      <c r="K715" s="30">
        <f>IF(AND(ISNUMBER(F715),ISNUMBER(J715)),ROUND(F715*J715,0),IF(ISNUMBER(I715),I715,""))</f>
        <v/>
      </c>
      <c r="L715" s="33" t="n"/>
      <c r="M715" s="34">
        <f>IF(COUNTA(A715:B715,D715:I715,L715)=0,"",IF(B715="","案件番号がありません",IF(ISNA(MATCH(B715,'案件'!$A$6:$A$105,0)),"案件シートに無い番号です",IF(NOT(OR(D715="材料費",D715="労務費",D715="外注費",D715="経費")),"費目を4つから選んでください",IF(K715="",IF(AND(ISNUMBER(F715),NOT(ISNUMBER(J715))),IF(D715="労務費","単価がありません（設定の作業者名と同じ書き方に）","単価がありません"),IF(AND(ISNUMBER(J715),NOT(ISNUMBER(F715))),"数量がありません","金額がありません")),IF(NOT(ISNUMBER(A715)),"日付がありません（月別集計に入りません）",IF(AND(ISNUMBER(F715),ISNUMBER(J715),ISNUMBER(I715)),"数量×単価を使いました（金額の欄は使っていません）","")))))))</f>
        <v/>
      </c>
      <c r="N715" s="91">
        <f>IF(AND(B715&lt;&gt;"",B715='案件カード'!$C$3),COUNTIF($B$5:B715,'案件カード'!$C$3),"")</f>
        <v/>
      </c>
      <c r="O715" s="91">
        <f>IF(ISNUMBER(K715),IF(B715="",K715,IF(AND(ISNUMBER(MATCH(B715,'案件'!$A$6:$A$105,0)),OR(D715="材料費",D715="労務費",D715="外注費",D715="経費")),0,K715)),0)</f>
        <v/>
      </c>
    </row>
    <row r="716" ht="16" customHeight="1">
      <c r="A716" s="35" t="n"/>
      <c r="B716" s="36" t="n"/>
      <c r="C716" s="37">
        <f>IF(B716="","",IFERROR(INDEX('案件'!$B$6:$B$105,MATCH(B716,'案件'!$A$6:$A$105,0))&amp;"","（案件シートに無い番号）"))</f>
        <v/>
      </c>
      <c r="D716" s="36" t="n"/>
      <c r="E716" s="38" t="n"/>
      <c r="F716" s="39" t="n"/>
      <c r="G716" s="36" t="n"/>
      <c r="H716" s="40" t="n"/>
      <c r="I716" s="40" t="n"/>
      <c r="J716" s="41">
        <f>IF(ISNUMBER(H716),H716,IF(AND(D716="労務費",TRIM(E716)&lt;&gt;""),IFERROR(INDEX('設定'!$G$12:$G$31,MATCH(TRIM(E716),'設定'!$J$12:$J$31,0)),""),""))</f>
        <v/>
      </c>
      <c r="K716" s="30">
        <f>IF(AND(ISNUMBER(F716),ISNUMBER(J716)),ROUND(F716*J716,0),IF(ISNUMBER(I716),I716,""))</f>
        <v/>
      </c>
      <c r="L716" s="33" t="n"/>
      <c r="M716" s="34">
        <f>IF(COUNTA(A716:B716,D716:I716,L716)=0,"",IF(B716="","案件番号がありません",IF(ISNA(MATCH(B716,'案件'!$A$6:$A$105,0)),"案件シートに無い番号です",IF(NOT(OR(D716="材料費",D716="労務費",D716="外注費",D716="経費")),"費目を4つから選んでください",IF(K716="",IF(AND(ISNUMBER(F716),NOT(ISNUMBER(J716))),IF(D716="労務費","単価がありません（設定の作業者名と同じ書き方に）","単価がありません"),IF(AND(ISNUMBER(J716),NOT(ISNUMBER(F716))),"数量がありません","金額がありません")),IF(NOT(ISNUMBER(A716)),"日付がありません（月別集計に入りません）",IF(AND(ISNUMBER(F716),ISNUMBER(J716),ISNUMBER(I716)),"数量×単価を使いました（金額の欄は使っていません）","")))))))</f>
        <v/>
      </c>
      <c r="N716" s="91">
        <f>IF(AND(B716&lt;&gt;"",B716='案件カード'!$C$3),COUNTIF($B$5:B716,'案件カード'!$C$3),"")</f>
        <v/>
      </c>
      <c r="O716" s="91">
        <f>IF(ISNUMBER(K716),IF(B716="",K716,IF(AND(ISNUMBER(MATCH(B716,'案件'!$A$6:$A$105,0)),OR(D716="材料費",D716="労務費",D716="外注費",D716="経費")),0,K716)),0)</f>
        <v/>
      </c>
    </row>
    <row r="717" ht="16" customHeight="1">
      <c r="A717" s="35" t="n"/>
      <c r="B717" s="36" t="n"/>
      <c r="C717" s="37">
        <f>IF(B717="","",IFERROR(INDEX('案件'!$B$6:$B$105,MATCH(B717,'案件'!$A$6:$A$105,0))&amp;"","（案件シートに無い番号）"))</f>
        <v/>
      </c>
      <c r="D717" s="36" t="n"/>
      <c r="E717" s="38" t="n"/>
      <c r="F717" s="39" t="n"/>
      <c r="G717" s="36" t="n"/>
      <c r="H717" s="40" t="n"/>
      <c r="I717" s="40" t="n"/>
      <c r="J717" s="41">
        <f>IF(ISNUMBER(H717),H717,IF(AND(D717="労務費",TRIM(E717)&lt;&gt;""),IFERROR(INDEX('設定'!$G$12:$G$31,MATCH(TRIM(E717),'設定'!$J$12:$J$31,0)),""),""))</f>
        <v/>
      </c>
      <c r="K717" s="30">
        <f>IF(AND(ISNUMBER(F717),ISNUMBER(J717)),ROUND(F717*J717,0),IF(ISNUMBER(I717),I717,""))</f>
        <v/>
      </c>
      <c r="L717" s="33" t="n"/>
      <c r="M717" s="34">
        <f>IF(COUNTA(A717:B717,D717:I717,L717)=0,"",IF(B717="","案件番号がありません",IF(ISNA(MATCH(B717,'案件'!$A$6:$A$105,0)),"案件シートに無い番号です",IF(NOT(OR(D717="材料費",D717="労務費",D717="外注費",D717="経費")),"費目を4つから選んでください",IF(K717="",IF(AND(ISNUMBER(F717),NOT(ISNUMBER(J717))),IF(D717="労務費","単価がありません（設定の作業者名と同じ書き方に）","単価がありません"),IF(AND(ISNUMBER(J717),NOT(ISNUMBER(F717))),"数量がありません","金額がありません")),IF(NOT(ISNUMBER(A717)),"日付がありません（月別集計に入りません）",IF(AND(ISNUMBER(F717),ISNUMBER(J717),ISNUMBER(I717)),"数量×単価を使いました（金額の欄は使っていません）","")))))))</f>
        <v/>
      </c>
      <c r="N717" s="91">
        <f>IF(AND(B717&lt;&gt;"",B717='案件カード'!$C$3),COUNTIF($B$5:B717,'案件カード'!$C$3),"")</f>
        <v/>
      </c>
      <c r="O717" s="91">
        <f>IF(ISNUMBER(K717),IF(B717="",K717,IF(AND(ISNUMBER(MATCH(B717,'案件'!$A$6:$A$105,0)),OR(D717="材料費",D717="労務費",D717="外注費",D717="経費")),0,K717)),0)</f>
        <v/>
      </c>
    </row>
    <row r="718" ht="16" customHeight="1">
      <c r="A718" s="35" t="n"/>
      <c r="B718" s="36" t="n"/>
      <c r="C718" s="37">
        <f>IF(B718="","",IFERROR(INDEX('案件'!$B$6:$B$105,MATCH(B718,'案件'!$A$6:$A$105,0))&amp;"","（案件シートに無い番号）"))</f>
        <v/>
      </c>
      <c r="D718" s="36" t="n"/>
      <c r="E718" s="38" t="n"/>
      <c r="F718" s="39" t="n"/>
      <c r="G718" s="36" t="n"/>
      <c r="H718" s="40" t="n"/>
      <c r="I718" s="40" t="n"/>
      <c r="J718" s="41">
        <f>IF(ISNUMBER(H718),H718,IF(AND(D718="労務費",TRIM(E718)&lt;&gt;""),IFERROR(INDEX('設定'!$G$12:$G$31,MATCH(TRIM(E718),'設定'!$J$12:$J$31,0)),""),""))</f>
        <v/>
      </c>
      <c r="K718" s="30">
        <f>IF(AND(ISNUMBER(F718),ISNUMBER(J718)),ROUND(F718*J718,0),IF(ISNUMBER(I718),I718,""))</f>
        <v/>
      </c>
      <c r="L718" s="33" t="n"/>
      <c r="M718" s="34">
        <f>IF(COUNTA(A718:B718,D718:I718,L718)=0,"",IF(B718="","案件番号がありません",IF(ISNA(MATCH(B718,'案件'!$A$6:$A$105,0)),"案件シートに無い番号です",IF(NOT(OR(D718="材料費",D718="労務費",D718="外注費",D718="経費")),"費目を4つから選んでください",IF(K718="",IF(AND(ISNUMBER(F718),NOT(ISNUMBER(J718))),IF(D718="労務費","単価がありません（設定の作業者名と同じ書き方に）","単価がありません"),IF(AND(ISNUMBER(J718),NOT(ISNUMBER(F718))),"数量がありません","金額がありません")),IF(NOT(ISNUMBER(A718)),"日付がありません（月別集計に入りません）",IF(AND(ISNUMBER(F718),ISNUMBER(J718),ISNUMBER(I718)),"数量×単価を使いました（金額の欄は使っていません）","")))))))</f>
        <v/>
      </c>
      <c r="N718" s="91">
        <f>IF(AND(B718&lt;&gt;"",B718='案件カード'!$C$3),COUNTIF($B$5:B718,'案件カード'!$C$3),"")</f>
        <v/>
      </c>
      <c r="O718" s="91">
        <f>IF(ISNUMBER(K718),IF(B718="",K718,IF(AND(ISNUMBER(MATCH(B718,'案件'!$A$6:$A$105,0)),OR(D718="材料費",D718="労務費",D718="外注費",D718="経費")),0,K718)),0)</f>
        <v/>
      </c>
    </row>
    <row r="719" ht="16" customHeight="1">
      <c r="A719" s="35" t="n"/>
      <c r="B719" s="36" t="n"/>
      <c r="C719" s="37">
        <f>IF(B719="","",IFERROR(INDEX('案件'!$B$6:$B$105,MATCH(B719,'案件'!$A$6:$A$105,0))&amp;"","（案件シートに無い番号）"))</f>
        <v/>
      </c>
      <c r="D719" s="36" t="n"/>
      <c r="E719" s="38" t="n"/>
      <c r="F719" s="39" t="n"/>
      <c r="G719" s="36" t="n"/>
      <c r="H719" s="40" t="n"/>
      <c r="I719" s="40" t="n"/>
      <c r="J719" s="41">
        <f>IF(ISNUMBER(H719),H719,IF(AND(D719="労務費",TRIM(E719)&lt;&gt;""),IFERROR(INDEX('設定'!$G$12:$G$31,MATCH(TRIM(E719),'設定'!$J$12:$J$31,0)),""),""))</f>
        <v/>
      </c>
      <c r="K719" s="30">
        <f>IF(AND(ISNUMBER(F719),ISNUMBER(J719)),ROUND(F719*J719,0),IF(ISNUMBER(I719),I719,""))</f>
        <v/>
      </c>
      <c r="L719" s="33" t="n"/>
      <c r="M719" s="34">
        <f>IF(COUNTA(A719:B719,D719:I719,L719)=0,"",IF(B719="","案件番号がありません",IF(ISNA(MATCH(B719,'案件'!$A$6:$A$105,0)),"案件シートに無い番号です",IF(NOT(OR(D719="材料費",D719="労務費",D719="外注費",D719="経費")),"費目を4つから選んでください",IF(K719="",IF(AND(ISNUMBER(F719),NOT(ISNUMBER(J719))),IF(D719="労務費","単価がありません（設定の作業者名と同じ書き方に）","単価がありません"),IF(AND(ISNUMBER(J719),NOT(ISNUMBER(F719))),"数量がありません","金額がありません")),IF(NOT(ISNUMBER(A719)),"日付がありません（月別集計に入りません）",IF(AND(ISNUMBER(F719),ISNUMBER(J719),ISNUMBER(I719)),"数量×単価を使いました（金額の欄は使っていません）","")))))))</f>
        <v/>
      </c>
      <c r="N719" s="91">
        <f>IF(AND(B719&lt;&gt;"",B719='案件カード'!$C$3),COUNTIF($B$5:B719,'案件カード'!$C$3),"")</f>
        <v/>
      </c>
      <c r="O719" s="91">
        <f>IF(ISNUMBER(K719),IF(B719="",K719,IF(AND(ISNUMBER(MATCH(B719,'案件'!$A$6:$A$105,0)),OR(D719="材料費",D719="労務費",D719="外注費",D719="経費")),0,K719)),0)</f>
        <v/>
      </c>
    </row>
    <row r="720" ht="16" customHeight="1">
      <c r="A720" s="35" t="n"/>
      <c r="B720" s="36" t="n"/>
      <c r="C720" s="37">
        <f>IF(B720="","",IFERROR(INDEX('案件'!$B$6:$B$105,MATCH(B720,'案件'!$A$6:$A$105,0))&amp;"","（案件シートに無い番号）"))</f>
        <v/>
      </c>
      <c r="D720" s="36" t="n"/>
      <c r="E720" s="38" t="n"/>
      <c r="F720" s="39" t="n"/>
      <c r="G720" s="36" t="n"/>
      <c r="H720" s="40" t="n"/>
      <c r="I720" s="40" t="n"/>
      <c r="J720" s="41">
        <f>IF(ISNUMBER(H720),H720,IF(AND(D720="労務費",TRIM(E720)&lt;&gt;""),IFERROR(INDEX('設定'!$G$12:$G$31,MATCH(TRIM(E720),'設定'!$J$12:$J$31,0)),""),""))</f>
        <v/>
      </c>
      <c r="K720" s="30">
        <f>IF(AND(ISNUMBER(F720),ISNUMBER(J720)),ROUND(F720*J720,0),IF(ISNUMBER(I720),I720,""))</f>
        <v/>
      </c>
      <c r="L720" s="33" t="n"/>
      <c r="M720" s="34">
        <f>IF(COUNTA(A720:B720,D720:I720,L720)=0,"",IF(B720="","案件番号がありません",IF(ISNA(MATCH(B720,'案件'!$A$6:$A$105,0)),"案件シートに無い番号です",IF(NOT(OR(D720="材料費",D720="労務費",D720="外注費",D720="経費")),"費目を4つから選んでください",IF(K720="",IF(AND(ISNUMBER(F720),NOT(ISNUMBER(J720))),IF(D720="労務費","単価がありません（設定の作業者名と同じ書き方に）","単価がありません"),IF(AND(ISNUMBER(J720),NOT(ISNUMBER(F720))),"数量がありません","金額がありません")),IF(NOT(ISNUMBER(A720)),"日付がありません（月別集計に入りません）",IF(AND(ISNUMBER(F720),ISNUMBER(J720),ISNUMBER(I720)),"数量×単価を使いました（金額の欄は使っていません）","")))))))</f>
        <v/>
      </c>
      <c r="N720" s="91">
        <f>IF(AND(B720&lt;&gt;"",B720='案件カード'!$C$3),COUNTIF($B$5:B720,'案件カード'!$C$3),"")</f>
        <v/>
      </c>
      <c r="O720" s="91">
        <f>IF(ISNUMBER(K720),IF(B720="",K720,IF(AND(ISNUMBER(MATCH(B720,'案件'!$A$6:$A$105,0)),OR(D720="材料費",D720="労務費",D720="外注費",D720="経費")),0,K720)),0)</f>
        <v/>
      </c>
    </row>
    <row r="721" ht="16" customHeight="1">
      <c r="A721" s="35" t="n"/>
      <c r="B721" s="36" t="n"/>
      <c r="C721" s="37">
        <f>IF(B721="","",IFERROR(INDEX('案件'!$B$6:$B$105,MATCH(B721,'案件'!$A$6:$A$105,0))&amp;"","（案件シートに無い番号）"))</f>
        <v/>
      </c>
      <c r="D721" s="36" t="n"/>
      <c r="E721" s="38" t="n"/>
      <c r="F721" s="39" t="n"/>
      <c r="G721" s="36" t="n"/>
      <c r="H721" s="40" t="n"/>
      <c r="I721" s="40" t="n"/>
      <c r="J721" s="41">
        <f>IF(ISNUMBER(H721),H721,IF(AND(D721="労務費",TRIM(E721)&lt;&gt;""),IFERROR(INDEX('設定'!$G$12:$G$31,MATCH(TRIM(E721),'設定'!$J$12:$J$31,0)),""),""))</f>
        <v/>
      </c>
      <c r="K721" s="30">
        <f>IF(AND(ISNUMBER(F721),ISNUMBER(J721)),ROUND(F721*J721,0),IF(ISNUMBER(I721),I721,""))</f>
        <v/>
      </c>
      <c r="L721" s="33" t="n"/>
      <c r="M721" s="34">
        <f>IF(COUNTA(A721:B721,D721:I721,L721)=0,"",IF(B721="","案件番号がありません",IF(ISNA(MATCH(B721,'案件'!$A$6:$A$105,0)),"案件シートに無い番号です",IF(NOT(OR(D721="材料費",D721="労務費",D721="外注費",D721="経費")),"費目を4つから選んでください",IF(K721="",IF(AND(ISNUMBER(F721),NOT(ISNUMBER(J721))),IF(D721="労務費","単価がありません（設定の作業者名と同じ書き方に）","単価がありません"),IF(AND(ISNUMBER(J721),NOT(ISNUMBER(F721))),"数量がありません","金額がありません")),IF(NOT(ISNUMBER(A721)),"日付がありません（月別集計に入りません）",IF(AND(ISNUMBER(F721),ISNUMBER(J721),ISNUMBER(I721)),"数量×単価を使いました（金額の欄は使っていません）","")))))))</f>
        <v/>
      </c>
      <c r="N721" s="91">
        <f>IF(AND(B721&lt;&gt;"",B721='案件カード'!$C$3),COUNTIF($B$5:B721,'案件カード'!$C$3),"")</f>
        <v/>
      </c>
      <c r="O721" s="91">
        <f>IF(ISNUMBER(K721),IF(B721="",K721,IF(AND(ISNUMBER(MATCH(B721,'案件'!$A$6:$A$105,0)),OR(D721="材料費",D721="労務費",D721="外注費",D721="経費")),0,K721)),0)</f>
        <v/>
      </c>
    </row>
    <row r="722" ht="16" customHeight="1">
      <c r="A722" s="35" t="n"/>
      <c r="B722" s="36" t="n"/>
      <c r="C722" s="37">
        <f>IF(B722="","",IFERROR(INDEX('案件'!$B$6:$B$105,MATCH(B722,'案件'!$A$6:$A$105,0))&amp;"","（案件シートに無い番号）"))</f>
        <v/>
      </c>
      <c r="D722" s="36" t="n"/>
      <c r="E722" s="38" t="n"/>
      <c r="F722" s="39" t="n"/>
      <c r="G722" s="36" t="n"/>
      <c r="H722" s="40" t="n"/>
      <c r="I722" s="40" t="n"/>
      <c r="J722" s="41">
        <f>IF(ISNUMBER(H722),H722,IF(AND(D722="労務費",TRIM(E722)&lt;&gt;""),IFERROR(INDEX('設定'!$G$12:$G$31,MATCH(TRIM(E722),'設定'!$J$12:$J$31,0)),""),""))</f>
        <v/>
      </c>
      <c r="K722" s="30">
        <f>IF(AND(ISNUMBER(F722),ISNUMBER(J722)),ROUND(F722*J722,0),IF(ISNUMBER(I722),I722,""))</f>
        <v/>
      </c>
      <c r="L722" s="33" t="n"/>
      <c r="M722" s="34">
        <f>IF(COUNTA(A722:B722,D722:I722,L722)=0,"",IF(B722="","案件番号がありません",IF(ISNA(MATCH(B722,'案件'!$A$6:$A$105,0)),"案件シートに無い番号です",IF(NOT(OR(D722="材料費",D722="労務費",D722="外注費",D722="経費")),"費目を4つから選んでください",IF(K722="",IF(AND(ISNUMBER(F722),NOT(ISNUMBER(J722))),IF(D722="労務費","単価がありません（設定の作業者名と同じ書き方に）","単価がありません"),IF(AND(ISNUMBER(J722),NOT(ISNUMBER(F722))),"数量がありません","金額がありません")),IF(NOT(ISNUMBER(A722)),"日付がありません（月別集計に入りません）",IF(AND(ISNUMBER(F722),ISNUMBER(J722),ISNUMBER(I722)),"数量×単価を使いました（金額の欄は使っていません）","")))))))</f>
        <v/>
      </c>
      <c r="N722" s="91">
        <f>IF(AND(B722&lt;&gt;"",B722='案件カード'!$C$3),COUNTIF($B$5:B722,'案件カード'!$C$3),"")</f>
        <v/>
      </c>
      <c r="O722" s="91">
        <f>IF(ISNUMBER(K722),IF(B722="",K722,IF(AND(ISNUMBER(MATCH(B722,'案件'!$A$6:$A$105,0)),OR(D722="材料費",D722="労務費",D722="外注費",D722="経費")),0,K722)),0)</f>
        <v/>
      </c>
    </row>
    <row r="723" ht="16" customHeight="1">
      <c r="A723" s="35" t="n"/>
      <c r="B723" s="36" t="n"/>
      <c r="C723" s="37">
        <f>IF(B723="","",IFERROR(INDEX('案件'!$B$6:$B$105,MATCH(B723,'案件'!$A$6:$A$105,0))&amp;"","（案件シートに無い番号）"))</f>
        <v/>
      </c>
      <c r="D723" s="36" t="n"/>
      <c r="E723" s="38" t="n"/>
      <c r="F723" s="39" t="n"/>
      <c r="G723" s="36" t="n"/>
      <c r="H723" s="40" t="n"/>
      <c r="I723" s="40" t="n"/>
      <c r="J723" s="41">
        <f>IF(ISNUMBER(H723),H723,IF(AND(D723="労務費",TRIM(E723)&lt;&gt;""),IFERROR(INDEX('設定'!$G$12:$G$31,MATCH(TRIM(E723),'設定'!$J$12:$J$31,0)),""),""))</f>
        <v/>
      </c>
      <c r="K723" s="30">
        <f>IF(AND(ISNUMBER(F723),ISNUMBER(J723)),ROUND(F723*J723,0),IF(ISNUMBER(I723),I723,""))</f>
        <v/>
      </c>
      <c r="L723" s="33" t="n"/>
      <c r="M723" s="34">
        <f>IF(COUNTA(A723:B723,D723:I723,L723)=0,"",IF(B723="","案件番号がありません",IF(ISNA(MATCH(B723,'案件'!$A$6:$A$105,0)),"案件シートに無い番号です",IF(NOT(OR(D723="材料費",D723="労務費",D723="外注費",D723="経費")),"費目を4つから選んでください",IF(K723="",IF(AND(ISNUMBER(F723),NOT(ISNUMBER(J723))),IF(D723="労務費","単価がありません（設定の作業者名と同じ書き方に）","単価がありません"),IF(AND(ISNUMBER(J723),NOT(ISNUMBER(F723))),"数量がありません","金額がありません")),IF(NOT(ISNUMBER(A723)),"日付がありません（月別集計に入りません）",IF(AND(ISNUMBER(F723),ISNUMBER(J723),ISNUMBER(I723)),"数量×単価を使いました（金額の欄は使っていません）","")))))))</f>
        <v/>
      </c>
      <c r="N723" s="91">
        <f>IF(AND(B723&lt;&gt;"",B723='案件カード'!$C$3),COUNTIF($B$5:B723,'案件カード'!$C$3),"")</f>
        <v/>
      </c>
      <c r="O723" s="91">
        <f>IF(ISNUMBER(K723),IF(B723="",K723,IF(AND(ISNUMBER(MATCH(B723,'案件'!$A$6:$A$105,0)),OR(D723="材料費",D723="労務費",D723="外注費",D723="経費")),0,K723)),0)</f>
        <v/>
      </c>
    </row>
    <row r="724" ht="16" customHeight="1">
      <c r="A724" s="35" t="n"/>
      <c r="B724" s="36" t="n"/>
      <c r="C724" s="37">
        <f>IF(B724="","",IFERROR(INDEX('案件'!$B$6:$B$105,MATCH(B724,'案件'!$A$6:$A$105,0))&amp;"","（案件シートに無い番号）"))</f>
        <v/>
      </c>
      <c r="D724" s="36" t="n"/>
      <c r="E724" s="38" t="n"/>
      <c r="F724" s="39" t="n"/>
      <c r="G724" s="36" t="n"/>
      <c r="H724" s="40" t="n"/>
      <c r="I724" s="40" t="n"/>
      <c r="J724" s="41">
        <f>IF(ISNUMBER(H724),H724,IF(AND(D724="労務費",TRIM(E724)&lt;&gt;""),IFERROR(INDEX('設定'!$G$12:$G$31,MATCH(TRIM(E724),'設定'!$J$12:$J$31,0)),""),""))</f>
        <v/>
      </c>
      <c r="K724" s="30">
        <f>IF(AND(ISNUMBER(F724),ISNUMBER(J724)),ROUND(F724*J724,0),IF(ISNUMBER(I724),I724,""))</f>
        <v/>
      </c>
      <c r="L724" s="33" t="n"/>
      <c r="M724" s="34">
        <f>IF(COUNTA(A724:B724,D724:I724,L724)=0,"",IF(B724="","案件番号がありません",IF(ISNA(MATCH(B724,'案件'!$A$6:$A$105,0)),"案件シートに無い番号です",IF(NOT(OR(D724="材料費",D724="労務費",D724="外注費",D724="経費")),"費目を4つから選んでください",IF(K724="",IF(AND(ISNUMBER(F724),NOT(ISNUMBER(J724))),IF(D724="労務費","単価がありません（設定の作業者名と同じ書き方に）","単価がありません"),IF(AND(ISNUMBER(J724),NOT(ISNUMBER(F724))),"数量がありません","金額がありません")),IF(NOT(ISNUMBER(A724)),"日付がありません（月別集計に入りません）",IF(AND(ISNUMBER(F724),ISNUMBER(J724),ISNUMBER(I724)),"数量×単価を使いました（金額の欄は使っていません）","")))))))</f>
        <v/>
      </c>
      <c r="N724" s="91">
        <f>IF(AND(B724&lt;&gt;"",B724='案件カード'!$C$3),COUNTIF($B$5:B724,'案件カード'!$C$3),"")</f>
        <v/>
      </c>
      <c r="O724" s="91">
        <f>IF(ISNUMBER(K724),IF(B724="",K724,IF(AND(ISNUMBER(MATCH(B724,'案件'!$A$6:$A$105,0)),OR(D724="材料費",D724="労務費",D724="外注費",D724="経費")),0,K724)),0)</f>
        <v/>
      </c>
    </row>
    <row r="725" ht="16" customHeight="1">
      <c r="A725" s="35" t="n"/>
      <c r="B725" s="36" t="n"/>
      <c r="C725" s="37">
        <f>IF(B725="","",IFERROR(INDEX('案件'!$B$6:$B$105,MATCH(B725,'案件'!$A$6:$A$105,0))&amp;"","（案件シートに無い番号）"))</f>
        <v/>
      </c>
      <c r="D725" s="36" t="n"/>
      <c r="E725" s="38" t="n"/>
      <c r="F725" s="39" t="n"/>
      <c r="G725" s="36" t="n"/>
      <c r="H725" s="40" t="n"/>
      <c r="I725" s="40" t="n"/>
      <c r="J725" s="41">
        <f>IF(ISNUMBER(H725),H725,IF(AND(D725="労務費",TRIM(E725)&lt;&gt;""),IFERROR(INDEX('設定'!$G$12:$G$31,MATCH(TRIM(E725),'設定'!$J$12:$J$31,0)),""),""))</f>
        <v/>
      </c>
      <c r="K725" s="30">
        <f>IF(AND(ISNUMBER(F725),ISNUMBER(J725)),ROUND(F725*J725,0),IF(ISNUMBER(I725),I725,""))</f>
        <v/>
      </c>
      <c r="L725" s="33" t="n"/>
      <c r="M725" s="34">
        <f>IF(COUNTA(A725:B725,D725:I725,L725)=0,"",IF(B725="","案件番号がありません",IF(ISNA(MATCH(B725,'案件'!$A$6:$A$105,0)),"案件シートに無い番号です",IF(NOT(OR(D725="材料費",D725="労務費",D725="外注費",D725="経費")),"費目を4つから選んでください",IF(K725="",IF(AND(ISNUMBER(F725),NOT(ISNUMBER(J725))),IF(D725="労務費","単価がありません（設定の作業者名と同じ書き方に）","単価がありません"),IF(AND(ISNUMBER(J725),NOT(ISNUMBER(F725))),"数量がありません","金額がありません")),IF(NOT(ISNUMBER(A725)),"日付がありません（月別集計に入りません）",IF(AND(ISNUMBER(F725),ISNUMBER(J725),ISNUMBER(I725)),"数量×単価を使いました（金額の欄は使っていません）","")))))))</f>
        <v/>
      </c>
      <c r="N725" s="91">
        <f>IF(AND(B725&lt;&gt;"",B725='案件カード'!$C$3),COUNTIF($B$5:B725,'案件カード'!$C$3),"")</f>
        <v/>
      </c>
      <c r="O725" s="91">
        <f>IF(ISNUMBER(K725),IF(B725="",K725,IF(AND(ISNUMBER(MATCH(B725,'案件'!$A$6:$A$105,0)),OR(D725="材料費",D725="労務費",D725="外注費",D725="経費")),0,K725)),0)</f>
        <v/>
      </c>
    </row>
    <row r="726" ht="16" customHeight="1">
      <c r="A726" s="35" t="n"/>
      <c r="B726" s="36" t="n"/>
      <c r="C726" s="37">
        <f>IF(B726="","",IFERROR(INDEX('案件'!$B$6:$B$105,MATCH(B726,'案件'!$A$6:$A$105,0))&amp;"","（案件シートに無い番号）"))</f>
        <v/>
      </c>
      <c r="D726" s="36" t="n"/>
      <c r="E726" s="38" t="n"/>
      <c r="F726" s="39" t="n"/>
      <c r="G726" s="36" t="n"/>
      <c r="H726" s="40" t="n"/>
      <c r="I726" s="40" t="n"/>
      <c r="J726" s="41">
        <f>IF(ISNUMBER(H726),H726,IF(AND(D726="労務費",TRIM(E726)&lt;&gt;""),IFERROR(INDEX('設定'!$G$12:$G$31,MATCH(TRIM(E726),'設定'!$J$12:$J$31,0)),""),""))</f>
        <v/>
      </c>
      <c r="K726" s="30">
        <f>IF(AND(ISNUMBER(F726),ISNUMBER(J726)),ROUND(F726*J726,0),IF(ISNUMBER(I726),I726,""))</f>
        <v/>
      </c>
      <c r="L726" s="33" t="n"/>
      <c r="M726" s="34">
        <f>IF(COUNTA(A726:B726,D726:I726,L726)=0,"",IF(B726="","案件番号がありません",IF(ISNA(MATCH(B726,'案件'!$A$6:$A$105,0)),"案件シートに無い番号です",IF(NOT(OR(D726="材料費",D726="労務費",D726="外注費",D726="経費")),"費目を4つから選んでください",IF(K726="",IF(AND(ISNUMBER(F726),NOT(ISNUMBER(J726))),IF(D726="労務費","単価がありません（設定の作業者名と同じ書き方に）","単価がありません"),IF(AND(ISNUMBER(J726),NOT(ISNUMBER(F726))),"数量がありません","金額がありません")),IF(NOT(ISNUMBER(A726)),"日付がありません（月別集計に入りません）",IF(AND(ISNUMBER(F726),ISNUMBER(J726),ISNUMBER(I726)),"数量×単価を使いました（金額の欄は使っていません）","")))))))</f>
        <v/>
      </c>
      <c r="N726" s="91">
        <f>IF(AND(B726&lt;&gt;"",B726='案件カード'!$C$3),COUNTIF($B$5:B726,'案件カード'!$C$3),"")</f>
        <v/>
      </c>
      <c r="O726" s="91">
        <f>IF(ISNUMBER(K726),IF(B726="",K726,IF(AND(ISNUMBER(MATCH(B726,'案件'!$A$6:$A$105,0)),OR(D726="材料費",D726="労務費",D726="外注費",D726="経費")),0,K726)),0)</f>
        <v/>
      </c>
    </row>
    <row r="727" ht="16" customHeight="1">
      <c r="A727" s="35" t="n"/>
      <c r="B727" s="36" t="n"/>
      <c r="C727" s="37">
        <f>IF(B727="","",IFERROR(INDEX('案件'!$B$6:$B$105,MATCH(B727,'案件'!$A$6:$A$105,0))&amp;"","（案件シートに無い番号）"))</f>
        <v/>
      </c>
      <c r="D727" s="36" t="n"/>
      <c r="E727" s="38" t="n"/>
      <c r="F727" s="39" t="n"/>
      <c r="G727" s="36" t="n"/>
      <c r="H727" s="40" t="n"/>
      <c r="I727" s="40" t="n"/>
      <c r="J727" s="41">
        <f>IF(ISNUMBER(H727),H727,IF(AND(D727="労務費",TRIM(E727)&lt;&gt;""),IFERROR(INDEX('設定'!$G$12:$G$31,MATCH(TRIM(E727),'設定'!$J$12:$J$31,0)),""),""))</f>
        <v/>
      </c>
      <c r="K727" s="30">
        <f>IF(AND(ISNUMBER(F727),ISNUMBER(J727)),ROUND(F727*J727,0),IF(ISNUMBER(I727),I727,""))</f>
        <v/>
      </c>
      <c r="L727" s="33" t="n"/>
      <c r="M727" s="34">
        <f>IF(COUNTA(A727:B727,D727:I727,L727)=0,"",IF(B727="","案件番号がありません",IF(ISNA(MATCH(B727,'案件'!$A$6:$A$105,0)),"案件シートに無い番号です",IF(NOT(OR(D727="材料費",D727="労務費",D727="外注費",D727="経費")),"費目を4つから選んでください",IF(K727="",IF(AND(ISNUMBER(F727),NOT(ISNUMBER(J727))),IF(D727="労務費","単価がありません（設定の作業者名と同じ書き方に）","単価がありません"),IF(AND(ISNUMBER(J727),NOT(ISNUMBER(F727))),"数量がありません","金額がありません")),IF(NOT(ISNUMBER(A727)),"日付がありません（月別集計に入りません）",IF(AND(ISNUMBER(F727),ISNUMBER(J727),ISNUMBER(I727)),"数量×単価を使いました（金額の欄は使っていません）","")))))))</f>
        <v/>
      </c>
      <c r="N727" s="91">
        <f>IF(AND(B727&lt;&gt;"",B727='案件カード'!$C$3),COUNTIF($B$5:B727,'案件カード'!$C$3),"")</f>
        <v/>
      </c>
      <c r="O727" s="91">
        <f>IF(ISNUMBER(K727),IF(B727="",K727,IF(AND(ISNUMBER(MATCH(B727,'案件'!$A$6:$A$105,0)),OR(D727="材料費",D727="労務費",D727="外注費",D727="経費")),0,K727)),0)</f>
        <v/>
      </c>
    </row>
    <row r="728" ht="16" customHeight="1">
      <c r="A728" s="35" t="n"/>
      <c r="B728" s="36" t="n"/>
      <c r="C728" s="37">
        <f>IF(B728="","",IFERROR(INDEX('案件'!$B$6:$B$105,MATCH(B728,'案件'!$A$6:$A$105,0))&amp;"","（案件シートに無い番号）"))</f>
        <v/>
      </c>
      <c r="D728" s="36" t="n"/>
      <c r="E728" s="38" t="n"/>
      <c r="F728" s="39" t="n"/>
      <c r="G728" s="36" t="n"/>
      <c r="H728" s="40" t="n"/>
      <c r="I728" s="40" t="n"/>
      <c r="J728" s="41">
        <f>IF(ISNUMBER(H728),H728,IF(AND(D728="労務費",TRIM(E728)&lt;&gt;""),IFERROR(INDEX('設定'!$G$12:$G$31,MATCH(TRIM(E728),'設定'!$J$12:$J$31,0)),""),""))</f>
        <v/>
      </c>
      <c r="K728" s="30">
        <f>IF(AND(ISNUMBER(F728),ISNUMBER(J728)),ROUND(F728*J728,0),IF(ISNUMBER(I728),I728,""))</f>
        <v/>
      </c>
      <c r="L728" s="33" t="n"/>
      <c r="M728" s="34">
        <f>IF(COUNTA(A728:B728,D728:I728,L728)=0,"",IF(B728="","案件番号がありません",IF(ISNA(MATCH(B728,'案件'!$A$6:$A$105,0)),"案件シートに無い番号です",IF(NOT(OR(D728="材料費",D728="労務費",D728="外注費",D728="経費")),"費目を4つから選んでください",IF(K728="",IF(AND(ISNUMBER(F728),NOT(ISNUMBER(J728))),IF(D728="労務費","単価がありません（設定の作業者名と同じ書き方に）","単価がありません"),IF(AND(ISNUMBER(J728),NOT(ISNUMBER(F728))),"数量がありません","金額がありません")),IF(NOT(ISNUMBER(A728)),"日付がありません（月別集計に入りません）",IF(AND(ISNUMBER(F728),ISNUMBER(J728),ISNUMBER(I728)),"数量×単価を使いました（金額の欄は使っていません）","")))))))</f>
        <v/>
      </c>
      <c r="N728" s="91">
        <f>IF(AND(B728&lt;&gt;"",B728='案件カード'!$C$3),COUNTIF($B$5:B728,'案件カード'!$C$3),"")</f>
        <v/>
      </c>
      <c r="O728" s="91">
        <f>IF(ISNUMBER(K728),IF(B728="",K728,IF(AND(ISNUMBER(MATCH(B728,'案件'!$A$6:$A$105,0)),OR(D728="材料費",D728="労務費",D728="外注費",D728="経費")),0,K728)),0)</f>
        <v/>
      </c>
    </row>
    <row r="729" ht="16" customHeight="1">
      <c r="A729" s="35" t="n"/>
      <c r="B729" s="36" t="n"/>
      <c r="C729" s="37">
        <f>IF(B729="","",IFERROR(INDEX('案件'!$B$6:$B$105,MATCH(B729,'案件'!$A$6:$A$105,0))&amp;"","（案件シートに無い番号）"))</f>
        <v/>
      </c>
      <c r="D729" s="36" t="n"/>
      <c r="E729" s="38" t="n"/>
      <c r="F729" s="39" t="n"/>
      <c r="G729" s="36" t="n"/>
      <c r="H729" s="40" t="n"/>
      <c r="I729" s="40" t="n"/>
      <c r="J729" s="41">
        <f>IF(ISNUMBER(H729),H729,IF(AND(D729="労務費",TRIM(E729)&lt;&gt;""),IFERROR(INDEX('設定'!$G$12:$G$31,MATCH(TRIM(E729),'設定'!$J$12:$J$31,0)),""),""))</f>
        <v/>
      </c>
      <c r="K729" s="30">
        <f>IF(AND(ISNUMBER(F729),ISNUMBER(J729)),ROUND(F729*J729,0),IF(ISNUMBER(I729),I729,""))</f>
        <v/>
      </c>
      <c r="L729" s="33" t="n"/>
      <c r="M729" s="34">
        <f>IF(COUNTA(A729:B729,D729:I729,L729)=0,"",IF(B729="","案件番号がありません",IF(ISNA(MATCH(B729,'案件'!$A$6:$A$105,0)),"案件シートに無い番号です",IF(NOT(OR(D729="材料費",D729="労務費",D729="外注費",D729="経費")),"費目を4つから選んでください",IF(K729="",IF(AND(ISNUMBER(F729),NOT(ISNUMBER(J729))),IF(D729="労務費","単価がありません（設定の作業者名と同じ書き方に）","単価がありません"),IF(AND(ISNUMBER(J729),NOT(ISNUMBER(F729))),"数量がありません","金額がありません")),IF(NOT(ISNUMBER(A729)),"日付がありません（月別集計に入りません）",IF(AND(ISNUMBER(F729),ISNUMBER(J729),ISNUMBER(I729)),"数量×単価を使いました（金額の欄は使っていません）","")))))))</f>
        <v/>
      </c>
      <c r="N729" s="91">
        <f>IF(AND(B729&lt;&gt;"",B729='案件カード'!$C$3),COUNTIF($B$5:B729,'案件カード'!$C$3),"")</f>
        <v/>
      </c>
      <c r="O729" s="91">
        <f>IF(ISNUMBER(K729),IF(B729="",K729,IF(AND(ISNUMBER(MATCH(B729,'案件'!$A$6:$A$105,0)),OR(D729="材料費",D729="労務費",D729="外注費",D729="経費")),0,K729)),0)</f>
        <v/>
      </c>
    </row>
    <row r="730" ht="16" customHeight="1">
      <c r="A730" s="35" t="n"/>
      <c r="B730" s="36" t="n"/>
      <c r="C730" s="37">
        <f>IF(B730="","",IFERROR(INDEX('案件'!$B$6:$B$105,MATCH(B730,'案件'!$A$6:$A$105,0))&amp;"","（案件シートに無い番号）"))</f>
        <v/>
      </c>
      <c r="D730" s="36" t="n"/>
      <c r="E730" s="38" t="n"/>
      <c r="F730" s="39" t="n"/>
      <c r="G730" s="36" t="n"/>
      <c r="H730" s="40" t="n"/>
      <c r="I730" s="40" t="n"/>
      <c r="J730" s="41">
        <f>IF(ISNUMBER(H730),H730,IF(AND(D730="労務費",TRIM(E730)&lt;&gt;""),IFERROR(INDEX('設定'!$G$12:$G$31,MATCH(TRIM(E730),'設定'!$J$12:$J$31,0)),""),""))</f>
        <v/>
      </c>
      <c r="K730" s="30">
        <f>IF(AND(ISNUMBER(F730),ISNUMBER(J730)),ROUND(F730*J730,0),IF(ISNUMBER(I730),I730,""))</f>
        <v/>
      </c>
      <c r="L730" s="33" t="n"/>
      <c r="M730" s="34">
        <f>IF(COUNTA(A730:B730,D730:I730,L730)=0,"",IF(B730="","案件番号がありません",IF(ISNA(MATCH(B730,'案件'!$A$6:$A$105,0)),"案件シートに無い番号です",IF(NOT(OR(D730="材料費",D730="労務費",D730="外注費",D730="経費")),"費目を4つから選んでください",IF(K730="",IF(AND(ISNUMBER(F730),NOT(ISNUMBER(J730))),IF(D730="労務費","単価がありません（設定の作業者名と同じ書き方に）","単価がありません"),IF(AND(ISNUMBER(J730),NOT(ISNUMBER(F730))),"数量がありません","金額がありません")),IF(NOT(ISNUMBER(A730)),"日付がありません（月別集計に入りません）",IF(AND(ISNUMBER(F730),ISNUMBER(J730),ISNUMBER(I730)),"数量×単価を使いました（金額の欄は使っていません）","")))))))</f>
        <v/>
      </c>
      <c r="N730" s="91">
        <f>IF(AND(B730&lt;&gt;"",B730='案件カード'!$C$3),COUNTIF($B$5:B730,'案件カード'!$C$3),"")</f>
        <v/>
      </c>
      <c r="O730" s="91">
        <f>IF(ISNUMBER(K730),IF(B730="",K730,IF(AND(ISNUMBER(MATCH(B730,'案件'!$A$6:$A$105,0)),OR(D730="材料費",D730="労務費",D730="外注費",D730="経費")),0,K730)),0)</f>
        <v/>
      </c>
    </row>
    <row r="731" ht="16" customHeight="1">
      <c r="A731" s="35" t="n"/>
      <c r="B731" s="36" t="n"/>
      <c r="C731" s="37">
        <f>IF(B731="","",IFERROR(INDEX('案件'!$B$6:$B$105,MATCH(B731,'案件'!$A$6:$A$105,0))&amp;"","（案件シートに無い番号）"))</f>
        <v/>
      </c>
      <c r="D731" s="36" t="n"/>
      <c r="E731" s="38" t="n"/>
      <c r="F731" s="39" t="n"/>
      <c r="G731" s="36" t="n"/>
      <c r="H731" s="40" t="n"/>
      <c r="I731" s="40" t="n"/>
      <c r="J731" s="41">
        <f>IF(ISNUMBER(H731),H731,IF(AND(D731="労務費",TRIM(E731)&lt;&gt;""),IFERROR(INDEX('設定'!$G$12:$G$31,MATCH(TRIM(E731),'設定'!$J$12:$J$31,0)),""),""))</f>
        <v/>
      </c>
      <c r="K731" s="30">
        <f>IF(AND(ISNUMBER(F731),ISNUMBER(J731)),ROUND(F731*J731,0),IF(ISNUMBER(I731),I731,""))</f>
        <v/>
      </c>
      <c r="L731" s="33" t="n"/>
      <c r="M731" s="34">
        <f>IF(COUNTA(A731:B731,D731:I731,L731)=0,"",IF(B731="","案件番号がありません",IF(ISNA(MATCH(B731,'案件'!$A$6:$A$105,0)),"案件シートに無い番号です",IF(NOT(OR(D731="材料費",D731="労務費",D731="外注費",D731="経費")),"費目を4つから選んでください",IF(K731="",IF(AND(ISNUMBER(F731),NOT(ISNUMBER(J731))),IF(D731="労務費","単価がありません（設定の作業者名と同じ書き方に）","単価がありません"),IF(AND(ISNUMBER(J731),NOT(ISNUMBER(F731))),"数量がありません","金額がありません")),IF(NOT(ISNUMBER(A731)),"日付がありません（月別集計に入りません）",IF(AND(ISNUMBER(F731),ISNUMBER(J731),ISNUMBER(I731)),"数量×単価を使いました（金額の欄は使っていません）","")))))))</f>
        <v/>
      </c>
      <c r="N731" s="91">
        <f>IF(AND(B731&lt;&gt;"",B731='案件カード'!$C$3),COUNTIF($B$5:B731,'案件カード'!$C$3),"")</f>
        <v/>
      </c>
      <c r="O731" s="91">
        <f>IF(ISNUMBER(K731),IF(B731="",K731,IF(AND(ISNUMBER(MATCH(B731,'案件'!$A$6:$A$105,0)),OR(D731="材料費",D731="労務費",D731="外注費",D731="経費")),0,K731)),0)</f>
        <v/>
      </c>
    </row>
    <row r="732" ht="16" customHeight="1">
      <c r="A732" s="35" t="n"/>
      <c r="B732" s="36" t="n"/>
      <c r="C732" s="37">
        <f>IF(B732="","",IFERROR(INDEX('案件'!$B$6:$B$105,MATCH(B732,'案件'!$A$6:$A$105,0))&amp;"","（案件シートに無い番号）"))</f>
        <v/>
      </c>
      <c r="D732" s="36" t="n"/>
      <c r="E732" s="38" t="n"/>
      <c r="F732" s="39" t="n"/>
      <c r="G732" s="36" t="n"/>
      <c r="H732" s="40" t="n"/>
      <c r="I732" s="40" t="n"/>
      <c r="J732" s="41">
        <f>IF(ISNUMBER(H732),H732,IF(AND(D732="労務費",TRIM(E732)&lt;&gt;""),IFERROR(INDEX('設定'!$G$12:$G$31,MATCH(TRIM(E732),'設定'!$J$12:$J$31,0)),""),""))</f>
        <v/>
      </c>
      <c r="K732" s="30">
        <f>IF(AND(ISNUMBER(F732),ISNUMBER(J732)),ROUND(F732*J732,0),IF(ISNUMBER(I732),I732,""))</f>
        <v/>
      </c>
      <c r="L732" s="33" t="n"/>
      <c r="M732" s="34">
        <f>IF(COUNTA(A732:B732,D732:I732,L732)=0,"",IF(B732="","案件番号がありません",IF(ISNA(MATCH(B732,'案件'!$A$6:$A$105,0)),"案件シートに無い番号です",IF(NOT(OR(D732="材料費",D732="労務費",D732="外注費",D732="経費")),"費目を4つから選んでください",IF(K732="",IF(AND(ISNUMBER(F732),NOT(ISNUMBER(J732))),IF(D732="労務費","単価がありません（設定の作業者名と同じ書き方に）","単価がありません"),IF(AND(ISNUMBER(J732),NOT(ISNUMBER(F732))),"数量がありません","金額がありません")),IF(NOT(ISNUMBER(A732)),"日付がありません（月別集計に入りません）",IF(AND(ISNUMBER(F732),ISNUMBER(J732),ISNUMBER(I732)),"数量×単価を使いました（金額の欄は使っていません）","")))))))</f>
        <v/>
      </c>
      <c r="N732" s="91">
        <f>IF(AND(B732&lt;&gt;"",B732='案件カード'!$C$3),COUNTIF($B$5:B732,'案件カード'!$C$3),"")</f>
        <v/>
      </c>
      <c r="O732" s="91">
        <f>IF(ISNUMBER(K732),IF(B732="",K732,IF(AND(ISNUMBER(MATCH(B732,'案件'!$A$6:$A$105,0)),OR(D732="材料費",D732="労務費",D732="外注費",D732="経費")),0,K732)),0)</f>
        <v/>
      </c>
    </row>
    <row r="733" ht="16" customHeight="1">
      <c r="A733" s="35" t="n"/>
      <c r="B733" s="36" t="n"/>
      <c r="C733" s="37">
        <f>IF(B733="","",IFERROR(INDEX('案件'!$B$6:$B$105,MATCH(B733,'案件'!$A$6:$A$105,0))&amp;"","（案件シートに無い番号）"))</f>
        <v/>
      </c>
      <c r="D733" s="36" t="n"/>
      <c r="E733" s="38" t="n"/>
      <c r="F733" s="39" t="n"/>
      <c r="G733" s="36" t="n"/>
      <c r="H733" s="40" t="n"/>
      <c r="I733" s="40" t="n"/>
      <c r="J733" s="41">
        <f>IF(ISNUMBER(H733),H733,IF(AND(D733="労務費",TRIM(E733)&lt;&gt;""),IFERROR(INDEX('設定'!$G$12:$G$31,MATCH(TRIM(E733),'設定'!$J$12:$J$31,0)),""),""))</f>
        <v/>
      </c>
      <c r="K733" s="30">
        <f>IF(AND(ISNUMBER(F733),ISNUMBER(J733)),ROUND(F733*J733,0),IF(ISNUMBER(I733),I733,""))</f>
        <v/>
      </c>
      <c r="L733" s="33" t="n"/>
      <c r="M733" s="34">
        <f>IF(COUNTA(A733:B733,D733:I733,L733)=0,"",IF(B733="","案件番号がありません",IF(ISNA(MATCH(B733,'案件'!$A$6:$A$105,0)),"案件シートに無い番号です",IF(NOT(OR(D733="材料費",D733="労務費",D733="外注費",D733="経費")),"費目を4つから選んでください",IF(K733="",IF(AND(ISNUMBER(F733),NOT(ISNUMBER(J733))),IF(D733="労務費","単価がありません（設定の作業者名と同じ書き方に）","単価がありません"),IF(AND(ISNUMBER(J733),NOT(ISNUMBER(F733))),"数量がありません","金額がありません")),IF(NOT(ISNUMBER(A733)),"日付がありません（月別集計に入りません）",IF(AND(ISNUMBER(F733),ISNUMBER(J733),ISNUMBER(I733)),"数量×単価を使いました（金額の欄は使っていません）","")))))))</f>
        <v/>
      </c>
      <c r="N733" s="91">
        <f>IF(AND(B733&lt;&gt;"",B733='案件カード'!$C$3),COUNTIF($B$5:B733,'案件カード'!$C$3),"")</f>
        <v/>
      </c>
      <c r="O733" s="91">
        <f>IF(ISNUMBER(K733),IF(B733="",K733,IF(AND(ISNUMBER(MATCH(B733,'案件'!$A$6:$A$105,0)),OR(D733="材料費",D733="労務費",D733="外注費",D733="経費")),0,K733)),0)</f>
        <v/>
      </c>
    </row>
    <row r="734" ht="16" customHeight="1">
      <c r="A734" s="35" t="n"/>
      <c r="B734" s="36" t="n"/>
      <c r="C734" s="37">
        <f>IF(B734="","",IFERROR(INDEX('案件'!$B$6:$B$105,MATCH(B734,'案件'!$A$6:$A$105,0))&amp;"","（案件シートに無い番号）"))</f>
        <v/>
      </c>
      <c r="D734" s="36" t="n"/>
      <c r="E734" s="38" t="n"/>
      <c r="F734" s="39" t="n"/>
      <c r="G734" s="36" t="n"/>
      <c r="H734" s="40" t="n"/>
      <c r="I734" s="40" t="n"/>
      <c r="J734" s="41">
        <f>IF(ISNUMBER(H734),H734,IF(AND(D734="労務費",TRIM(E734)&lt;&gt;""),IFERROR(INDEX('設定'!$G$12:$G$31,MATCH(TRIM(E734),'設定'!$J$12:$J$31,0)),""),""))</f>
        <v/>
      </c>
      <c r="K734" s="30">
        <f>IF(AND(ISNUMBER(F734),ISNUMBER(J734)),ROUND(F734*J734,0),IF(ISNUMBER(I734),I734,""))</f>
        <v/>
      </c>
      <c r="L734" s="33" t="n"/>
      <c r="M734" s="34">
        <f>IF(COUNTA(A734:B734,D734:I734,L734)=0,"",IF(B734="","案件番号がありません",IF(ISNA(MATCH(B734,'案件'!$A$6:$A$105,0)),"案件シートに無い番号です",IF(NOT(OR(D734="材料費",D734="労務費",D734="外注費",D734="経費")),"費目を4つから選んでください",IF(K734="",IF(AND(ISNUMBER(F734),NOT(ISNUMBER(J734))),IF(D734="労務費","単価がありません（設定の作業者名と同じ書き方に）","単価がありません"),IF(AND(ISNUMBER(J734),NOT(ISNUMBER(F734))),"数量がありません","金額がありません")),IF(NOT(ISNUMBER(A734)),"日付がありません（月別集計に入りません）",IF(AND(ISNUMBER(F734),ISNUMBER(J734),ISNUMBER(I734)),"数量×単価を使いました（金額の欄は使っていません）","")))))))</f>
        <v/>
      </c>
      <c r="N734" s="91">
        <f>IF(AND(B734&lt;&gt;"",B734='案件カード'!$C$3),COUNTIF($B$5:B734,'案件カード'!$C$3),"")</f>
        <v/>
      </c>
      <c r="O734" s="91">
        <f>IF(ISNUMBER(K734),IF(B734="",K734,IF(AND(ISNUMBER(MATCH(B734,'案件'!$A$6:$A$105,0)),OR(D734="材料費",D734="労務費",D734="外注費",D734="経費")),0,K734)),0)</f>
        <v/>
      </c>
    </row>
    <row r="735" ht="16" customHeight="1">
      <c r="A735" s="35" t="n"/>
      <c r="B735" s="36" t="n"/>
      <c r="C735" s="37">
        <f>IF(B735="","",IFERROR(INDEX('案件'!$B$6:$B$105,MATCH(B735,'案件'!$A$6:$A$105,0))&amp;"","（案件シートに無い番号）"))</f>
        <v/>
      </c>
      <c r="D735" s="36" t="n"/>
      <c r="E735" s="38" t="n"/>
      <c r="F735" s="39" t="n"/>
      <c r="G735" s="36" t="n"/>
      <c r="H735" s="40" t="n"/>
      <c r="I735" s="40" t="n"/>
      <c r="J735" s="41">
        <f>IF(ISNUMBER(H735),H735,IF(AND(D735="労務費",TRIM(E735)&lt;&gt;""),IFERROR(INDEX('設定'!$G$12:$G$31,MATCH(TRIM(E735),'設定'!$J$12:$J$31,0)),""),""))</f>
        <v/>
      </c>
      <c r="K735" s="30">
        <f>IF(AND(ISNUMBER(F735),ISNUMBER(J735)),ROUND(F735*J735,0),IF(ISNUMBER(I735),I735,""))</f>
        <v/>
      </c>
      <c r="L735" s="33" t="n"/>
      <c r="M735" s="34">
        <f>IF(COUNTA(A735:B735,D735:I735,L735)=0,"",IF(B735="","案件番号がありません",IF(ISNA(MATCH(B735,'案件'!$A$6:$A$105,0)),"案件シートに無い番号です",IF(NOT(OR(D735="材料費",D735="労務費",D735="外注費",D735="経費")),"費目を4つから選んでください",IF(K735="",IF(AND(ISNUMBER(F735),NOT(ISNUMBER(J735))),IF(D735="労務費","単価がありません（設定の作業者名と同じ書き方に）","単価がありません"),IF(AND(ISNUMBER(J735),NOT(ISNUMBER(F735))),"数量がありません","金額がありません")),IF(NOT(ISNUMBER(A735)),"日付がありません（月別集計に入りません）",IF(AND(ISNUMBER(F735),ISNUMBER(J735),ISNUMBER(I735)),"数量×単価を使いました（金額の欄は使っていません）","")))))))</f>
        <v/>
      </c>
      <c r="N735" s="91">
        <f>IF(AND(B735&lt;&gt;"",B735='案件カード'!$C$3),COUNTIF($B$5:B735,'案件カード'!$C$3),"")</f>
        <v/>
      </c>
      <c r="O735" s="91">
        <f>IF(ISNUMBER(K735),IF(B735="",K735,IF(AND(ISNUMBER(MATCH(B735,'案件'!$A$6:$A$105,0)),OR(D735="材料費",D735="労務費",D735="外注費",D735="経費")),0,K735)),0)</f>
        <v/>
      </c>
    </row>
    <row r="736" ht="16" customHeight="1">
      <c r="A736" s="35" t="n"/>
      <c r="B736" s="36" t="n"/>
      <c r="C736" s="37">
        <f>IF(B736="","",IFERROR(INDEX('案件'!$B$6:$B$105,MATCH(B736,'案件'!$A$6:$A$105,0))&amp;"","（案件シートに無い番号）"))</f>
        <v/>
      </c>
      <c r="D736" s="36" t="n"/>
      <c r="E736" s="38" t="n"/>
      <c r="F736" s="39" t="n"/>
      <c r="G736" s="36" t="n"/>
      <c r="H736" s="40" t="n"/>
      <c r="I736" s="40" t="n"/>
      <c r="J736" s="41">
        <f>IF(ISNUMBER(H736),H736,IF(AND(D736="労務費",TRIM(E736)&lt;&gt;""),IFERROR(INDEX('設定'!$G$12:$G$31,MATCH(TRIM(E736),'設定'!$J$12:$J$31,0)),""),""))</f>
        <v/>
      </c>
      <c r="K736" s="30">
        <f>IF(AND(ISNUMBER(F736),ISNUMBER(J736)),ROUND(F736*J736,0),IF(ISNUMBER(I736),I736,""))</f>
        <v/>
      </c>
      <c r="L736" s="33" t="n"/>
      <c r="M736" s="34">
        <f>IF(COUNTA(A736:B736,D736:I736,L736)=0,"",IF(B736="","案件番号がありません",IF(ISNA(MATCH(B736,'案件'!$A$6:$A$105,0)),"案件シートに無い番号です",IF(NOT(OR(D736="材料費",D736="労務費",D736="外注費",D736="経費")),"費目を4つから選んでください",IF(K736="",IF(AND(ISNUMBER(F736),NOT(ISNUMBER(J736))),IF(D736="労務費","単価がありません（設定の作業者名と同じ書き方に）","単価がありません"),IF(AND(ISNUMBER(J736),NOT(ISNUMBER(F736))),"数量がありません","金額がありません")),IF(NOT(ISNUMBER(A736)),"日付がありません（月別集計に入りません）",IF(AND(ISNUMBER(F736),ISNUMBER(J736),ISNUMBER(I736)),"数量×単価を使いました（金額の欄は使っていません）","")))))))</f>
        <v/>
      </c>
      <c r="N736" s="91">
        <f>IF(AND(B736&lt;&gt;"",B736='案件カード'!$C$3),COUNTIF($B$5:B736,'案件カード'!$C$3),"")</f>
        <v/>
      </c>
      <c r="O736" s="91">
        <f>IF(ISNUMBER(K736),IF(B736="",K736,IF(AND(ISNUMBER(MATCH(B736,'案件'!$A$6:$A$105,0)),OR(D736="材料費",D736="労務費",D736="外注費",D736="経費")),0,K736)),0)</f>
        <v/>
      </c>
    </row>
    <row r="737" ht="16" customHeight="1">
      <c r="A737" s="35" t="n"/>
      <c r="B737" s="36" t="n"/>
      <c r="C737" s="37">
        <f>IF(B737="","",IFERROR(INDEX('案件'!$B$6:$B$105,MATCH(B737,'案件'!$A$6:$A$105,0))&amp;"","（案件シートに無い番号）"))</f>
        <v/>
      </c>
      <c r="D737" s="36" t="n"/>
      <c r="E737" s="38" t="n"/>
      <c r="F737" s="39" t="n"/>
      <c r="G737" s="36" t="n"/>
      <c r="H737" s="40" t="n"/>
      <c r="I737" s="40" t="n"/>
      <c r="J737" s="41">
        <f>IF(ISNUMBER(H737),H737,IF(AND(D737="労務費",TRIM(E737)&lt;&gt;""),IFERROR(INDEX('設定'!$G$12:$G$31,MATCH(TRIM(E737),'設定'!$J$12:$J$31,0)),""),""))</f>
        <v/>
      </c>
      <c r="K737" s="30">
        <f>IF(AND(ISNUMBER(F737),ISNUMBER(J737)),ROUND(F737*J737,0),IF(ISNUMBER(I737),I737,""))</f>
        <v/>
      </c>
      <c r="L737" s="33" t="n"/>
      <c r="M737" s="34">
        <f>IF(COUNTA(A737:B737,D737:I737,L737)=0,"",IF(B737="","案件番号がありません",IF(ISNA(MATCH(B737,'案件'!$A$6:$A$105,0)),"案件シートに無い番号です",IF(NOT(OR(D737="材料費",D737="労務費",D737="外注費",D737="経費")),"費目を4つから選んでください",IF(K737="",IF(AND(ISNUMBER(F737),NOT(ISNUMBER(J737))),IF(D737="労務費","単価がありません（設定の作業者名と同じ書き方に）","単価がありません"),IF(AND(ISNUMBER(J737),NOT(ISNUMBER(F737))),"数量がありません","金額がありません")),IF(NOT(ISNUMBER(A737)),"日付がありません（月別集計に入りません）",IF(AND(ISNUMBER(F737),ISNUMBER(J737),ISNUMBER(I737)),"数量×単価を使いました（金額の欄は使っていません）","")))))))</f>
        <v/>
      </c>
      <c r="N737" s="91">
        <f>IF(AND(B737&lt;&gt;"",B737='案件カード'!$C$3),COUNTIF($B$5:B737,'案件カード'!$C$3),"")</f>
        <v/>
      </c>
      <c r="O737" s="91">
        <f>IF(ISNUMBER(K737),IF(B737="",K737,IF(AND(ISNUMBER(MATCH(B737,'案件'!$A$6:$A$105,0)),OR(D737="材料費",D737="労務費",D737="外注費",D737="経費")),0,K737)),0)</f>
        <v/>
      </c>
    </row>
    <row r="738" ht="16" customHeight="1">
      <c r="A738" s="35" t="n"/>
      <c r="B738" s="36" t="n"/>
      <c r="C738" s="37">
        <f>IF(B738="","",IFERROR(INDEX('案件'!$B$6:$B$105,MATCH(B738,'案件'!$A$6:$A$105,0))&amp;"","（案件シートに無い番号）"))</f>
        <v/>
      </c>
      <c r="D738" s="36" t="n"/>
      <c r="E738" s="38" t="n"/>
      <c r="F738" s="39" t="n"/>
      <c r="G738" s="36" t="n"/>
      <c r="H738" s="40" t="n"/>
      <c r="I738" s="40" t="n"/>
      <c r="J738" s="41">
        <f>IF(ISNUMBER(H738),H738,IF(AND(D738="労務費",TRIM(E738)&lt;&gt;""),IFERROR(INDEX('設定'!$G$12:$G$31,MATCH(TRIM(E738),'設定'!$J$12:$J$31,0)),""),""))</f>
        <v/>
      </c>
      <c r="K738" s="30">
        <f>IF(AND(ISNUMBER(F738),ISNUMBER(J738)),ROUND(F738*J738,0),IF(ISNUMBER(I738),I738,""))</f>
        <v/>
      </c>
      <c r="L738" s="33" t="n"/>
      <c r="M738" s="34">
        <f>IF(COUNTA(A738:B738,D738:I738,L738)=0,"",IF(B738="","案件番号がありません",IF(ISNA(MATCH(B738,'案件'!$A$6:$A$105,0)),"案件シートに無い番号です",IF(NOT(OR(D738="材料費",D738="労務費",D738="外注費",D738="経費")),"費目を4つから選んでください",IF(K738="",IF(AND(ISNUMBER(F738),NOT(ISNUMBER(J738))),IF(D738="労務費","単価がありません（設定の作業者名と同じ書き方に）","単価がありません"),IF(AND(ISNUMBER(J738),NOT(ISNUMBER(F738))),"数量がありません","金額がありません")),IF(NOT(ISNUMBER(A738)),"日付がありません（月別集計に入りません）",IF(AND(ISNUMBER(F738),ISNUMBER(J738),ISNUMBER(I738)),"数量×単価を使いました（金額の欄は使っていません）","")))))))</f>
        <v/>
      </c>
      <c r="N738" s="91">
        <f>IF(AND(B738&lt;&gt;"",B738='案件カード'!$C$3),COUNTIF($B$5:B738,'案件カード'!$C$3),"")</f>
        <v/>
      </c>
      <c r="O738" s="91">
        <f>IF(ISNUMBER(K738),IF(B738="",K738,IF(AND(ISNUMBER(MATCH(B738,'案件'!$A$6:$A$105,0)),OR(D738="材料費",D738="労務費",D738="外注費",D738="経費")),0,K738)),0)</f>
        <v/>
      </c>
    </row>
    <row r="739" ht="16" customHeight="1">
      <c r="A739" s="35" t="n"/>
      <c r="B739" s="36" t="n"/>
      <c r="C739" s="37">
        <f>IF(B739="","",IFERROR(INDEX('案件'!$B$6:$B$105,MATCH(B739,'案件'!$A$6:$A$105,0))&amp;"","（案件シートに無い番号）"))</f>
        <v/>
      </c>
      <c r="D739" s="36" t="n"/>
      <c r="E739" s="38" t="n"/>
      <c r="F739" s="39" t="n"/>
      <c r="G739" s="36" t="n"/>
      <c r="H739" s="40" t="n"/>
      <c r="I739" s="40" t="n"/>
      <c r="J739" s="41">
        <f>IF(ISNUMBER(H739),H739,IF(AND(D739="労務費",TRIM(E739)&lt;&gt;""),IFERROR(INDEX('設定'!$G$12:$G$31,MATCH(TRIM(E739),'設定'!$J$12:$J$31,0)),""),""))</f>
        <v/>
      </c>
      <c r="K739" s="30">
        <f>IF(AND(ISNUMBER(F739),ISNUMBER(J739)),ROUND(F739*J739,0),IF(ISNUMBER(I739),I739,""))</f>
        <v/>
      </c>
      <c r="L739" s="33" t="n"/>
      <c r="M739" s="34">
        <f>IF(COUNTA(A739:B739,D739:I739,L739)=0,"",IF(B739="","案件番号がありません",IF(ISNA(MATCH(B739,'案件'!$A$6:$A$105,0)),"案件シートに無い番号です",IF(NOT(OR(D739="材料費",D739="労務費",D739="外注費",D739="経費")),"費目を4つから選んでください",IF(K739="",IF(AND(ISNUMBER(F739),NOT(ISNUMBER(J739))),IF(D739="労務費","単価がありません（設定の作業者名と同じ書き方に）","単価がありません"),IF(AND(ISNUMBER(J739),NOT(ISNUMBER(F739))),"数量がありません","金額がありません")),IF(NOT(ISNUMBER(A739)),"日付がありません（月別集計に入りません）",IF(AND(ISNUMBER(F739),ISNUMBER(J739),ISNUMBER(I739)),"数量×単価を使いました（金額の欄は使っていません）","")))))))</f>
        <v/>
      </c>
      <c r="N739" s="91">
        <f>IF(AND(B739&lt;&gt;"",B739='案件カード'!$C$3),COUNTIF($B$5:B739,'案件カード'!$C$3),"")</f>
        <v/>
      </c>
      <c r="O739" s="91">
        <f>IF(ISNUMBER(K739),IF(B739="",K739,IF(AND(ISNUMBER(MATCH(B739,'案件'!$A$6:$A$105,0)),OR(D739="材料費",D739="労務費",D739="外注費",D739="経費")),0,K739)),0)</f>
        <v/>
      </c>
    </row>
    <row r="740" ht="16" customHeight="1">
      <c r="A740" s="35" t="n"/>
      <c r="B740" s="36" t="n"/>
      <c r="C740" s="37">
        <f>IF(B740="","",IFERROR(INDEX('案件'!$B$6:$B$105,MATCH(B740,'案件'!$A$6:$A$105,0))&amp;"","（案件シートに無い番号）"))</f>
        <v/>
      </c>
      <c r="D740" s="36" t="n"/>
      <c r="E740" s="38" t="n"/>
      <c r="F740" s="39" t="n"/>
      <c r="G740" s="36" t="n"/>
      <c r="H740" s="40" t="n"/>
      <c r="I740" s="40" t="n"/>
      <c r="J740" s="41">
        <f>IF(ISNUMBER(H740),H740,IF(AND(D740="労務費",TRIM(E740)&lt;&gt;""),IFERROR(INDEX('設定'!$G$12:$G$31,MATCH(TRIM(E740),'設定'!$J$12:$J$31,0)),""),""))</f>
        <v/>
      </c>
      <c r="K740" s="30">
        <f>IF(AND(ISNUMBER(F740),ISNUMBER(J740)),ROUND(F740*J740,0),IF(ISNUMBER(I740),I740,""))</f>
        <v/>
      </c>
      <c r="L740" s="33" t="n"/>
      <c r="M740" s="34">
        <f>IF(COUNTA(A740:B740,D740:I740,L740)=0,"",IF(B740="","案件番号がありません",IF(ISNA(MATCH(B740,'案件'!$A$6:$A$105,0)),"案件シートに無い番号です",IF(NOT(OR(D740="材料費",D740="労務費",D740="外注費",D740="経費")),"費目を4つから選んでください",IF(K740="",IF(AND(ISNUMBER(F740),NOT(ISNUMBER(J740))),IF(D740="労務費","単価がありません（設定の作業者名と同じ書き方に）","単価がありません"),IF(AND(ISNUMBER(J740),NOT(ISNUMBER(F740))),"数量がありません","金額がありません")),IF(NOT(ISNUMBER(A740)),"日付がありません（月別集計に入りません）",IF(AND(ISNUMBER(F740),ISNUMBER(J740),ISNUMBER(I740)),"数量×単価を使いました（金額の欄は使っていません）","")))))))</f>
        <v/>
      </c>
      <c r="N740" s="91">
        <f>IF(AND(B740&lt;&gt;"",B740='案件カード'!$C$3),COUNTIF($B$5:B740,'案件カード'!$C$3),"")</f>
        <v/>
      </c>
      <c r="O740" s="91">
        <f>IF(ISNUMBER(K740),IF(B740="",K740,IF(AND(ISNUMBER(MATCH(B740,'案件'!$A$6:$A$105,0)),OR(D740="材料費",D740="労務費",D740="外注費",D740="経費")),0,K740)),0)</f>
        <v/>
      </c>
    </row>
    <row r="741" ht="16" customHeight="1">
      <c r="A741" s="35" t="n"/>
      <c r="B741" s="36" t="n"/>
      <c r="C741" s="37">
        <f>IF(B741="","",IFERROR(INDEX('案件'!$B$6:$B$105,MATCH(B741,'案件'!$A$6:$A$105,0))&amp;"","（案件シートに無い番号）"))</f>
        <v/>
      </c>
      <c r="D741" s="36" t="n"/>
      <c r="E741" s="38" t="n"/>
      <c r="F741" s="39" t="n"/>
      <c r="G741" s="36" t="n"/>
      <c r="H741" s="40" t="n"/>
      <c r="I741" s="40" t="n"/>
      <c r="J741" s="41">
        <f>IF(ISNUMBER(H741),H741,IF(AND(D741="労務費",TRIM(E741)&lt;&gt;""),IFERROR(INDEX('設定'!$G$12:$G$31,MATCH(TRIM(E741),'設定'!$J$12:$J$31,0)),""),""))</f>
        <v/>
      </c>
      <c r="K741" s="30">
        <f>IF(AND(ISNUMBER(F741),ISNUMBER(J741)),ROUND(F741*J741,0),IF(ISNUMBER(I741),I741,""))</f>
        <v/>
      </c>
      <c r="L741" s="33" t="n"/>
      <c r="M741" s="34">
        <f>IF(COUNTA(A741:B741,D741:I741,L741)=0,"",IF(B741="","案件番号がありません",IF(ISNA(MATCH(B741,'案件'!$A$6:$A$105,0)),"案件シートに無い番号です",IF(NOT(OR(D741="材料費",D741="労務費",D741="外注費",D741="経費")),"費目を4つから選んでください",IF(K741="",IF(AND(ISNUMBER(F741),NOT(ISNUMBER(J741))),IF(D741="労務費","単価がありません（設定の作業者名と同じ書き方に）","単価がありません"),IF(AND(ISNUMBER(J741),NOT(ISNUMBER(F741))),"数量がありません","金額がありません")),IF(NOT(ISNUMBER(A741)),"日付がありません（月別集計に入りません）",IF(AND(ISNUMBER(F741),ISNUMBER(J741),ISNUMBER(I741)),"数量×単価を使いました（金額の欄は使っていません）","")))))))</f>
        <v/>
      </c>
      <c r="N741" s="91">
        <f>IF(AND(B741&lt;&gt;"",B741='案件カード'!$C$3),COUNTIF($B$5:B741,'案件カード'!$C$3),"")</f>
        <v/>
      </c>
      <c r="O741" s="91">
        <f>IF(ISNUMBER(K741),IF(B741="",K741,IF(AND(ISNUMBER(MATCH(B741,'案件'!$A$6:$A$105,0)),OR(D741="材料費",D741="労務費",D741="外注費",D741="経費")),0,K741)),0)</f>
        <v/>
      </c>
    </row>
    <row r="742" ht="16" customHeight="1">
      <c r="A742" s="35" t="n"/>
      <c r="B742" s="36" t="n"/>
      <c r="C742" s="37">
        <f>IF(B742="","",IFERROR(INDEX('案件'!$B$6:$B$105,MATCH(B742,'案件'!$A$6:$A$105,0))&amp;"","（案件シートに無い番号）"))</f>
        <v/>
      </c>
      <c r="D742" s="36" t="n"/>
      <c r="E742" s="38" t="n"/>
      <c r="F742" s="39" t="n"/>
      <c r="G742" s="36" t="n"/>
      <c r="H742" s="40" t="n"/>
      <c r="I742" s="40" t="n"/>
      <c r="J742" s="41">
        <f>IF(ISNUMBER(H742),H742,IF(AND(D742="労務費",TRIM(E742)&lt;&gt;""),IFERROR(INDEX('設定'!$G$12:$G$31,MATCH(TRIM(E742),'設定'!$J$12:$J$31,0)),""),""))</f>
        <v/>
      </c>
      <c r="K742" s="30">
        <f>IF(AND(ISNUMBER(F742),ISNUMBER(J742)),ROUND(F742*J742,0),IF(ISNUMBER(I742),I742,""))</f>
        <v/>
      </c>
      <c r="L742" s="33" t="n"/>
      <c r="M742" s="34">
        <f>IF(COUNTA(A742:B742,D742:I742,L742)=0,"",IF(B742="","案件番号がありません",IF(ISNA(MATCH(B742,'案件'!$A$6:$A$105,0)),"案件シートに無い番号です",IF(NOT(OR(D742="材料費",D742="労務費",D742="外注費",D742="経費")),"費目を4つから選んでください",IF(K742="",IF(AND(ISNUMBER(F742),NOT(ISNUMBER(J742))),IF(D742="労務費","単価がありません（設定の作業者名と同じ書き方に）","単価がありません"),IF(AND(ISNUMBER(J742),NOT(ISNUMBER(F742))),"数量がありません","金額がありません")),IF(NOT(ISNUMBER(A742)),"日付がありません（月別集計に入りません）",IF(AND(ISNUMBER(F742),ISNUMBER(J742),ISNUMBER(I742)),"数量×単価を使いました（金額の欄は使っていません）","")))))))</f>
        <v/>
      </c>
      <c r="N742" s="91">
        <f>IF(AND(B742&lt;&gt;"",B742='案件カード'!$C$3),COUNTIF($B$5:B742,'案件カード'!$C$3),"")</f>
        <v/>
      </c>
      <c r="O742" s="91">
        <f>IF(ISNUMBER(K742),IF(B742="",K742,IF(AND(ISNUMBER(MATCH(B742,'案件'!$A$6:$A$105,0)),OR(D742="材料費",D742="労務費",D742="外注費",D742="経費")),0,K742)),0)</f>
        <v/>
      </c>
    </row>
    <row r="743" ht="16" customHeight="1">
      <c r="A743" s="35" t="n"/>
      <c r="B743" s="36" t="n"/>
      <c r="C743" s="37">
        <f>IF(B743="","",IFERROR(INDEX('案件'!$B$6:$B$105,MATCH(B743,'案件'!$A$6:$A$105,0))&amp;"","（案件シートに無い番号）"))</f>
        <v/>
      </c>
      <c r="D743" s="36" t="n"/>
      <c r="E743" s="38" t="n"/>
      <c r="F743" s="39" t="n"/>
      <c r="G743" s="36" t="n"/>
      <c r="H743" s="40" t="n"/>
      <c r="I743" s="40" t="n"/>
      <c r="J743" s="41">
        <f>IF(ISNUMBER(H743),H743,IF(AND(D743="労務費",TRIM(E743)&lt;&gt;""),IFERROR(INDEX('設定'!$G$12:$G$31,MATCH(TRIM(E743),'設定'!$J$12:$J$31,0)),""),""))</f>
        <v/>
      </c>
      <c r="K743" s="30">
        <f>IF(AND(ISNUMBER(F743),ISNUMBER(J743)),ROUND(F743*J743,0),IF(ISNUMBER(I743),I743,""))</f>
        <v/>
      </c>
      <c r="L743" s="33" t="n"/>
      <c r="M743" s="34">
        <f>IF(COUNTA(A743:B743,D743:I743,L743)=0,"",IF(B743="","案件番号がありません",IF(ISNA(MATCH(B743,'案件'!$A$6:$A$105,0)),"案件シートに無い番号です",IF(NOT(OR(D743="材料費",D743="労務費",D743="外注費",D743="経費")),"費目を4つから選んでください",IF(K743="",IF(AND(ISNUMBER(F743),NOT(ISNUMBER(J743))),IF(D743="労務費","単価がありません（設定の作業者名と同じ書き方に）","単価がありません"),IF(AND(ISNUMBER(J743),NOT(ISNUMBER(F743))),"数量がありません","金額がありません")),IF(NOT(ISNUMBER(A743)),"日付がありません（月別集計に入りません）",IF(AND(ISNUMBER(F743),ISNUMBER(J743),ISNUMBER(I743)),"数量×単価を使いました（金額の欄は使っていません）","")))))))</f>
        <v/>
      </c>
      <c r="N743" s="91">
        <f>IF(AND(B743&lt;&gt;"",B743='案件カード'!$C$3),COUNTIF($B$5:B743,'案件カード'!$C$3),"")</f>
        <v/>
      </c>
      <c r="O743" s="91">
        <f>IF(ISNUMBER(K743),IF(B743="",K743,IF(AND(ISNUMBER(MATCH(B743,'案件'!$A$6:$A$105,0)),OR(D743="材料費",D743="労務費",D743="外注費",D743="経費")),0,K743)),0)</f>
        <v/>
      </c>
    </row>
    <row r="744" ht="16" customHeight="1">
      <c r="A744" s="35" t="n"/>
      <c r="B744" s="36" t="n"/>
      <c r="C744" s="37">
        <f>IF(B744="","",IFERROR(INDEX('案件'!$B$6:$B$105,MATCH(B744,'案件'!$A$6:$A$105,0))&amp;"","（案件シートに無い番号）"))</f>
        <v/>
      </c>
      <c r="D744" s="36" t="n"/>
      <c r="E744" s="38" t="n"/>
      <c r="F744" s="39" t="n"/>
      <c r="G744" s="36" t="n"/>
      <c r="H744" s="40" t="n"/>
      <c r="I744" s="40" t="n"/>
      <c r="J744" s="41">
        <f>IF(ISNUMBER(H744),H744,IF(AND(D744="労務費",TRIM(E744)&lt;&gt;""),IFERROR(INDEX('設定'!$G$12:$G$31,MATCH(TRIM(E744),'設定'!$J$12:$J$31,0)),""),""))</f>
        <v/>
      </c>
      <c r="K744" s="30">
        <f>IF(AND(ISNUMBER(F744),ISNUMBER(J744)),ROUND(F744*J744,0),IF(ISNUMBER(I744),I744,""))</f>
        <v/>
      </c>
      <c r="L744" s="33" t="n"/>
      <c r="M744" s="34">
        <f>IF(COUNTA(A744:B744,D744:I744,L744)=0,"",IF(B744="","案件番号がありません",IF(ISNA(MATCH(B744,'案件'!$A$6:$A$105,0)),"案件シートに無い番号です",IF(NOT(OR(D744="材料費",D744="労務費",D744="外注費",D744="経費")),"費目を4つから選んでください",IF(K744="",IF(AND(ISNUMBER(F744),NOT(ISNUMBER(J744))),IF(D744="労務費","単価がありません（設定の作業者名と同じ書き方に）","単価がありません"),IF(AND(ISNUMBER(J744),NOT(ISNUMBER(F744))),"数量がありません","金額がありません")),IF(NOT(ISNUMBER(A744)),"日付がありません（月別集計に入りません）",IF(AND(ISNUMBER(F744),ISNUMBER(J744),ISNUMBER(I744)),"数量×単価を使いました（金額の欄は使っていません）","")))))))</f>
        <v/>
      </c>
      <c r="N744" s="91">
        <f>IF(AND(B744&lt;&gt;"",B744='案件カード'!$C$3),COUNTIF($B$5:B744,'案件カード'!$C$3),"")</f>
        <v/>
      </c>
      <c r="O744" s="91">
        <f>IF(ISNUMBER(K744),IF(B744="",K744,IF(AND(ISNUMBER(MATCH(B744,'案件'!$A$6:$A$105,0)),OR(D744="材料費",D744="労務費",D744="外注費",D744="経費")),0,K744)),0)</f>
        <v/>
      </c>
    </row>
    <row r="745" ht="16" customHeight="1">
      <c r="A745" s="35" t="n"/>
      <c r="B745" s="36" t="n"/>
      <c r="C745" s="37">
        <f>IF(B745="","",IFERROR(INDEX('案件'!$B$6:$B$105,MATCH(B745,'案件'!$A$6:$A$105,0))&amp;"","（案件シートに無い番号）"))</f>
        <v/>
      </c>
      <c r="D745" s="36" t="n"/>
      <c r="E745" s="38" t="n"/>
      <c r="F745" s="39" t="n"/>
      <c r="G745" s="36" t="n"/>
      <c r="H745" s="40" t="n"/>
      <c r="I745" s="40" t="n"/>
      <c r="J745" s="41">
        <f>IF(ISNUMBER(H745),H745,IF(AND(D745="労務費",TRIM(E745)&lt;&gt;""),IFERROR(INDEX('設定'!$G$12:$G$31,MATCH(TRIM(E745),'設定'!$J$12:$J$31,0)),""),""))</f>
        <v/>
      </c>
      <c r="K745" s="30">
        <f>IF(AND(ISNUMBER(F745),ISNUMBER(J745)),ROUND(F745*J745,0),IF(ISNUMBER(I745),I745,""))</f>
        <v/>
      </c>
      <c r="L745" s="33" t="n"/>
      <c r="M745" s="34">
        <f>IF(COUNTA(A745:B745,D745:I745,L745)=0,"",IF(B745="","案件番号がありません",IF(ISNA(MATCH(B745,'案件'!$A$6:$A$105,0)),"案件シートに無い番号です",IF(NOT(OR(D745="材料費",D745="労務費",D745="外注費",D745="経費")),"費目を4つから選んでください",IF(K745="",IF(AND(ISNUMBER(F745),NOT(ISNUMBER(J745))),IF(D745="労務費","単価がありません（設定の作業者名と同じ書き方に）","単価がありません"),IF(AND(ISNUMBER(J745),NOT(ISNUMBER(F745))),"数量がありません","金額がありません")),IF(NOT(ISNUMBER(A745)),"日付がありません（月別集計に入りません）",IF(AND(ISNUMBER(F745),ISNUMBER(J745),ISNUMBER(I745)),"数量×単価を使いました（金額の欄は使っていません）","")))))))</f>
        <v/>
      </c>
      <c r="N745" s="91">
        <f>IF(AND(B745&lt;&gt;"",B745='案件カード'!$C$3),COUNTIF($B$5:B745,'案件カード'!$C$3),"")</f>
        <v/>
      </c>
      <c r="O745" s="91">
        <f>IF(ISNUMBER(K745),IF(B745="",K745,IF(AND(ISNUMBER(MATCH(B745,'案件'!$A$6:$A$105,0)),OR(D745="材料費",D745="労務費",D745="外注費",D745="経費")),0,K745)),0)</f>
        <v/>
      </c>
    </row>
    <row r="746" ht="16" customHeight="1">
      <c r="A746" s="35" t="n"/>
      <c r="B746" s="36" t="n"/>
      <c r="C746" s="37">
        <f>IF(B746="","",IFERROR(INDEX('案件'!$B$6:$B$105,MATCH(B746,'案件'!$A$6:$A$105,0))&amp;"","（案件シートに無い番号）"))</f>
        <v/>
      </c>
      <c r="D746" s="36" t="n"/>
      <c r="E746" s="38" t="n"/>
      <c r="F746" s="39" t="n"/>
      <c r="G746" s="36" t="n"/>
      <c r="H746" s="40" t="n"/>
      <c r="I746" s="40" t="n"/>
      <c r="J746" s="41">
        <f>IF(ISNUMBER(H746),H746,IF(AND(D746="労務費",TRIM(E746)&lt;&gt;""),IFERROR(INDEX('設定'!$G$12:$G$31,MATCH(TRIM(E746),'設定'!$J$12:$J$31,0)),""),""))</f>
        <v/>
      </c>
      <c r="K746" s="30">
        <f>IF(AND(ISNUMBER(F746),ISNUMBER(J746)),ROUND(F746*J746,0),IF(ISNUMBER(I746),I746,""))</f>
        <v/>
      </c>
      <c r="L746" s="33" t="n"/>
      <c r="M746" s="34">
        <f>IF(COUNTA(A746:B746,D746:I746,L746)=0,"",IF(B746="","案件番号がありません",IF(ISNA(MATCH(B746,'案件'!$A$6:$A$105,0)),"案件シートに無い番号です",IF(NOT(OR(D746="材料費",D746="労務費",D746="外注費",D746="経費")),"費目を4つから選んでください",IF(K746="",IF(AND(ISNUMBER(F746),NOT(ISNUMBER(J746))),IF(D746="労務費","単価がありません（設定の作業者名と同じ書き方に）","単価がありません"),IF(AND(ISNUMBER(J746),NOT(ISNUMBER(F746))),"数量がありません","金額がありません")),IF(NOT(ISNUMBER(A746)),"日付がありません（月別集計に入りません）",IF(AND(ISNUMBER(F746),ISNUMBER(J746),ISNUMBER(I746)),"数量×単価を使いました（金額の欄は使っていません）","")))))))</f>
        <v/>
      </c>
      <c r="N746" s="91">
        <f>IF(AND(B746&lt;&gt;"",B746='案件カード'!$C$3),COUNTIF($B$5:B746,'案件カード'!$C$3),"")</f>
        <v/>
      </c>
      <c r="O746" s="91">
        <f>IF(ISNUMBER(K746),IF(B746="",K746,IF(AND(ISNUMBER(MATCH(B746,'案件'!$A$6:$A$105,0)),OR(D746="材料費",D746="労務費",D746="外注費",D746="経費")),0,K746)),0)</f>
        <v/>
      </c>
    </row>
    <row r="747" ht="16" customHeight="1">
      <c r="A747" s="35" t="n"/>
      <c r="B747" s="36" t="n"/>
      <c r="C747" s="37">
        <f>IF(B747="","",IFERROR(INDEX('案件'!$B$6:$B$105,MATCH(B747,'案件'!$A$6:$A$105,0))&amp;"","（案件シートに無い番号）"))</f>
        <v/>
      </c>
      <c r="D747" s="36" t="n"/>
      <c r="E747" s="38" t="n"/>
      <c r="F747" s="39" t="n"/>
      <c r="G747" s="36" t="n"/>
      <c r="H747" s="40" t="n"/>
      <c r="I747" s="40" t="n"/>
      <c r="J747" s="41">
        <f>IF(ISNUMBER(H747),H747,IF(AND(D747="労務費",TRIM(E747)&lt;&gt;""),IFERROR(INDEX('設定'!$G$12:$G$31,MATCH(TRIM(E747),'設定'!$J$12:$J$31,0)),""),""))</f>
        <v/>
      </c>
      <c r="K747" s="30">
        <f>IF(AND(ISNUMBER(F747),ISNUMBER(J747)),ROUND(F747*J747,0),IF(ISNUMBER(I747),I747,""))</f>
        <v/>
      </c>
      <c r="L747" s="33" t="n"/>
      <c r="M747" s="34">
        <f>IF(COUNTA(A747:B747,D747:I747,L747)=0,"",IF(B747="","案件番号がありません",IF(ISNA(MATCH(B747,'案件'!$A$6:$A$105,0)),"案件シートに無い番号です",IF(NOT(OR(D747="材料費",D747="労務費",D747="外注費",D747="経費")),"費目を4つから選んでください",IF(K747="",IF(AND(ISNUMBER(F747),NOT(ISNUMBER(J747))),IF(D747="労務費","単価がありません（設定の作業者名と同じ書き方に）","単価がありません"),IF(AND(ISNUMBER(J747),NOT(ISNUMBER(F747))),"数量がありません","金額がありません")),IF(NOT(ISNUMBER(A747)),"日付がありません（月別集計に入りません）",IF(AND(ISNUMBER(F747),ISNUMBER(J747),ISNUMBER(I747)),"数量×単価を使いました（金額の欄は使っていません）","")))))))</f>
        <v/>
      </c>
      <c r="N747" s="91">
        <f>IF(AND(B747&lt;&gt;"",B747='案件カード'!$C$3),COUNTIF($B$5:B747,'案件カード'!$C$3),"")</f>
        <v/>
      </c>
      <c r="O747" s="91">
        <f>IF(ISNUMBER(K747),IF(B747="",K747,IF(AND(ISNUMBER(MATCH(B747,'案件'!$A$6:$A$105,0)),OR(D747="材料費",D747="労務費",D747="外注費",D747="経費")),0,K747)),0)</f>
        <v/>
      </c>
    </row>
    <row r="748" ht="16" customHeight="1">
      <c r="A748" s="35" t="n"/>
      <c r="B748" s="36" t="n"/>
      <c r="C748" s="37">
        <f>IF(B748="","",IFERROR(INDEX('案件'!$B$6:$B$105,MATCH(B748,'案件'!$A$6:$A$105,0))&amp;"","（案件シートに無い番号）"))</f>
        <v/>
      </c>
      <c r="D748" s="36" t="n"/>
      <c r="E748" s="38" t="n"/>
      <c r="F748" s="39" t="n"/>
      <c r="G748" s="36" t="n"/>
      <c r="H748" s="40" t="n"/>
      <c r="I748" s="40" t="n"/>
      <c r="J748" s="41">
        <f>IF(ISNUMBER(H748),H748,IF(AND(D748="労務費",TRIM(E748)&lt;&gt;""),IFERROR(INDEX('設定'!$G$12:$G$31,MATCH(TRIM(E748),'設定'!$J$12:$J$31,0)),""),""))</f>
        <v/>
      </c>
      <c r="K748" s="30">
        <f>IF(AND(ISNUMBER(F748),ISNUMBER(J748)),ROUND(F748*J748,0),IF(ISNUMBER(I748),I748,""))</f>
        <v/>
      </c>
      <c r="L748" s="33" t="n"/>
      <c r="M748" s="34">
        <f>IF(COUNTA(A748:B748,D748:I748,L748)=0,"",IF(B748="","案件番号がありません",IF(ISNA(MATCH(B748,'案件'!$A$6:$A$105,0)),"案件シートに無い番号です",IF(NOT(OR(D748="材料費",D748="労務費",D748="外注費",D748="経費")),"費目を4つから選んでください",IF(K748="",IF(AND(ISNUMBER(F748),NOT(ISNUMBER(J748))),IF(D748="労務費","単価がありません（設定の作業者名と同じ書き方に）","単価がありません"),IF(AND(ISNUMBER(J748),NOT(ISNUMBER(F748))),"数量がありません","金額がありません")),IF(NOT(ISNUMBER(A748)),"日付がありません（月別集計に入りません）",IF(AND(ISNUMBER(F748),ISNUMBER(J748),ISNUMBER(I748)),"数量×単価を使いました（金額の欄は使っていません）","")))))))</f>
        <v/>
      </c>
      <c r="N748" s="91">
        <f>IF(AND(B748&lt;&gt;"",B748='案件カード'!$C$3),COUNTIF($B$5:B748,'案件カード'!$C$3),"")</f>
        <v/>
      </c>
      <c r="O748" s="91">
        <f>IF(ISNUMBER(K748),IF(B748="",K748,IF(AND(ISNUMBER(MATCH(B748,'案件'!$A$6:$A$105,0)),OR(D748="材料費",D748="労務費",D748="外注費",D748="経費")),0,K748)),0)</f>
        <v/>
      </c>
    </row>
    <row r="749" ht="16" customHeight="1">
      <c r="A749" s="35" t="n"/>
      <c r="B749" s="36" t="n"/>
      <c r="C749" s="37">
        <f>IF(B749="","",IFERROR(INDEX('案件'!$B$6:$B$105,MATCH(B749,'案件'!$A$6:$A$105,0))&amp;"","（案件シートに無い番号）"))</f>
        <v/>
      </c>
      <c r="D749" s="36" t="n"/>
      <c r="E749" s="38" t="n"/>
      <c r="F749" s="39" t="n"/>
      <c r="G749" s="36" t="n"/>
      <c r="H749" s="40" t="n"/>
      <c r="I749" s="40" t="n"/>
      <c r="J749" s="41">
        <f>IF(ISNUMBER(H749),H749,IF(AND(D749="労務費",TRIM(E749)&lt;&gt;""),IFERROR(INDEX('設定'!$G$12:$G$31,MATCH(TRIM(E749),'設定'!$J$12:$J$31,0)),""),""))</f>
        <v/>
      </c>
      <c r="K749" s="30">
        <f>IF(AND(ISNUMBER(F749),ISNUMBER(J749)),ROUND(F749*J749,0),IF(ISNUMBER(I749),I749,""))</f>
        <v/>
      </c>
      <c r="L749" s="33" t="n"/>
      <c r="M749" s="34">
        <f>IF(COUNTA(A749:B749,D749:I749,L749)=0,"",IF(B749="","案件番号がありません",IF(ISNA(MATCH(B749,'案件'!$A$6:$A$105,0)),"案件シートに無い番号です",IF(NOT(OR(D749="材料費",D749="労務費",D749="外注費",D749="経費")),"費目を4つから選んでください",IF(K749="",IF(AND(ISNUMBER(F749),NOT(ISNUMBER(J749))),IF(D749="労務費","単価がありません（設定の作業者名と同じ書き方に）","単価がありません"),IF(AND(ISNUMBER(J749),NOT(ISNUMBER(F749))),"数量がありません","金額がありません")),IF(NOT(ISNUMBER(A749)),"日付がありません（月別集計に入りません）",IF(AND(ISNUMBER(F749),ISNUMBER(J749),ISNUMBER(I749)),"数量×単価を使いました（金額の欄は使っていません）","")))))))</f>
        <v/>
      </c>
      <c r="N749" s="91">
        <f>IF(AND(B749&lt;&gt;"",B749='案件カード'!$C$3),COUNTIF($B$5:B749,'案件カード'!$C$3),"")</f>
        <v/>
      </c>
      <c r="O749" s="91">
        <f>IF(ISNUMBER(K749),IF(B749="",K749,IF(AND(ISNUMBER(MATCH(B749,'案件'!$A$6:$A$105,0)),OR(D749="材料費",D749="労務費",D749="外注費",D749="経費")),0,K749)),0)</f>
        <v/>
      </c>
    </row>
    <row r="750" ht="16" customHeight="1">
      <c r="A750" s="35" t="n"/>
      <c r="B750" s="36" t="n"/>
      <c r="C750" s="37">
        <f>IF(B750="","",IFERROR(INDEX('案件'!$B$6:$B$105,MATCH(B750,'案件'!$A$6:$A$105,0))&amp;"","（案件シートに無い番号）"))</f>
        <v/>
      </c>
      <c r="D750" s="36" t="n"/>
      <c r="E750" s="38" t="n"/>
      <c r="F750" s="39" t="n"/>
      <c r="G750" s="36" t="n"/>
      <c r="H750" s="40" t="n"/>
      <c r="I750" s="40" t="n"/>
      <c r="J750" s="41">
        <f>IF(ISNUMBER(H750),H750,IF(AND(D750="労務費",TRIM(E750)&lt;&gt;""),IFERROR(INDEX('設定'!$G$12:$G$31,MATCH(TRIM(E750),'設定'!$J$12:$J$31,0)),""),""))</f>
        <v/>
      </c>
      <c r="K750" s="30">
        <f>IF(AND(ISNUMBER(F750),ISNUMBER(J750)),ROUND(F750*J750,0),IF(ISNUMBER(I750),I750,""))</f>
        <v/>
      </c>
      <c r="L750" s="33" t="n"/>
      <c r="M750" s="34">
        <f>IF(COUNTA(A750:B750,D750:I750,L750)=0,"",IF(B750="","案件番号がありません",IF(ISNA(MATCH(B750,'案件'!$A$6:$A$105,0)),"案件シートに無い番号です",IF(NOT(OR(D750="材料費",D750="労務費",D750="外注費",D750="経費")),"費目を4つから選んでください",IF(K750="",IF(AND(ISNUMBER(F750),NOT(ISNUMBER(J750))),IF(D750="労務費","単価がありません（設定の作業者名と同じ書き方に）","単価がありません"),IF(AND(ISNUMBER(J750),NOT(ISNUMBER(F750))),"数量がありません","金額がありません")),IF(NOT(ISNUMBER(A750)),"日付がありません（月別集計に入りません）",IF(AND(ISNUMBER(F750),ISNUMBER(J750),ISNUMBER(I750)),"数量×単価を使いました（金額の欄は使っていません）","")))))))</f>
        <v/>
      </c>
      <c r="N750" s="91">
        <f>IF(AND(B750&lt;&gt;"",B750='案件カード'!$C$3),COUNTIF($B$5:B750,'案件カード'!$C$3),"")</f>
        <v/>
      </c>
      <c r="O750" s="91">
        <f>IF(ISNUMBER(K750),IF(B750="",K750,IF(AND(ISNUMBER(MATCH(B750,'案件'!$A$6:$A$105,0)),OR(D750="材料費",D750="労務費",D750="外注費",D750="経費")),0,K750)),0)</f>
        <v/>
      </c>
    </row>
    <row r="751" ht="16" customHeight="1">
      <c r="A751" s="35" t="n"/>
      <c r="B751" s="36" t="n"/>
      <c r="C751" s="37">
        <f>IF(B751="","",IFERROR(INDEX('案件'!$B$6:$B$105,MATCH(B751,'案件'!$A$6:$A$105,0))&amp;"","（案件シートに無い番号）"))</f>
        <v/>
      </c>
      <c r="D751" s="36" t="n"/>
      <c r="E751" s="38" t="n"/>
      <c r="F751" s="39" t="n"/>
      <c r="G751" s="36" t="n"/>
      <c r="H751" s="40" t="n"/>
      <c r="I751" s="40" t="n"/>
      <c r="J751" s="41">
        <f>IF(ISNUMBER(H751),H751,IF(AND(D751="労務費",TRIM(E751)&lt;&gt;""),IFERROR(INDEX('設定'!$G$12:$G$31,MATCH(TRIM(E751),'設定'!$J$12:$J$31,0)),""),""))</f>
        <v/>
      </c>
      <c r="K751" s="30">
        <f>IF(AND(ISNUMBER(F751),ISNUMBER(J751)),ROUND(F751*J751,0),IF(ISNUMBER(I751),I751,""))</f>
        <v/>
      </c>
      <c r="L751" s="33" t="n"/>
      <c r="M751" s="34">
        <f>IF(COUNTA(A751:B751,D751:I751,L751)=0,"",IF(B751="","案件番号がありません",IF(ISNA(MATCH(B751,'案件'!$A$6:$A$105,0)),"案件シートに無い番号です",IF(NOT(OR(D751="材料費",D751="労務費",D751="外注費",D751="経費")),"費目を4つから選んでください",IF(K751="",IF(AND(ISNUMBER(F751),NOT(ISNUMBER(J751))),IF(D751="労務費","単価がありません（設定の作業者名と同じ書き方に）","単価がありません"),IF(AND(ISNUMBER(J751),NOT(ISNUMBER(F751))),"数量がありません","金額がありません")),IF(NOT(ISNUMBER(A751)),"日付がありません（月別集計に入りません）",IF(AND(ISNUMBER(F751),ISNUMBER(J751),ISNUMBER(I751)),"数量×単価を使いました（金額の欄は使っていません）","")))))))</f>
        <v/>
      </c>
      <c r="N751" s="91">
        <f>IF(AND(B751&lt;&gt;"",B751='案件カード'!$C$3),COUNTIF($B$5:B751,'案件カード'!$C$3),"")</f>
        <v/>
      </c>
      <c r="O751" s="91">
        <f>IF(ISNUMBER(K751),IF(B751="",K751,IF(AND(ISNUMBER(MATCH(B751,'案件'!$A$6:$A$105,0)),OR(D751="材料費",D751="労務費",D751="外注費",D751="経費")),0,K751)),0)</f>
        <v/>
      </c>
    </row>
    <row r="752" ht="16" customHeight="1">
      <c r="A752" s="35" t="n"/>
      <c r="B752" s="36" t="n"/>
      <c r="C752" s="37">
        <f>IF(B752="","",IFERROR(INDEX('案件'!$B$6:$B$105,MATCH(B752,'案件'!$A$6:$A$105,0))&amp;"","（案件シートに無い番号）"))</f>
        <v/>
      </c>
      <c r="D752" s="36" t="n"/>
      <c r="E752" s="38" t="n"/>
      <c r="F752" s="39" t="n"/>
      <c r="G752" s="36" t="n"/>
      <c r="H752" s="40" t="n"/>
      <c r="I752" s="40" t="n"/>
      <c r="J752" s="41">
        <f>IF(ISNUMBER(H752),H752,IF(AND(D752="労務費",TRIM(E752)&lt;&gt;""),IFERROR(INDEX('設定'!$G$12:$G$31,MATCH(TRIM(E752),'設定'!$J$12:$J$31,0)),""),""))</f>
        <v/>
      </c>
      <c r="K752" s="30">
        <f>IF(AND(ISNUMBER(F752),ISNUMBER(J752)),ROUND(F752*J752,0),IF(ISNUMBER(I752),I752,""))</f>
        <v/>
      </c>
      <c r="L752" s="33" t="n"/>
      <c r="M752" s="34">
        <f>IF(COUNTA(A752:B752,D752:I752,L752)=0,"",IF(B752="","案件番号がありません",IF(ISNA(MATCH(B752,'案件'!$A$6:$A$105,0)),"案件シートに無い番号です",IF(NOT(OR(D752="材料費",D752="労務費",D752="外注費",D752="経費")),"費目を4つから選んでください",IF(K752="",IF(AND(ISNUMBER(F752),NOT(ISNUMBER(J752))),IF(D752="労務費","単価がありません（設定の作業者名と同じ書き方に）","単価がありません"),IF(AND(ISNUMBER(J752),NOT(ISNUMBER(F752))),"数量がありません","金額がありません")),IF(NOT(ISNUMBER(A752)),"日付がありません（月別集計に入りません）",IF(AND(ISNUMBER(F752),ISNUMBER(J752),ISNUMBER(I752)),"数量×単価を使いました（金額の欄は使っていません）","")))))))</f>
        <v/>
      </c>
      <c r="N752" s="91">
        <f>IF(AND(B752&lt;&gt;"",B752='案件カード'!$C$3),COUNTIF($B$5:B752,'案件カード'!$C$3),"")</f>
        <v/>
      </c>
      <c r="O752" s="91">
        <f>IF(ISNUMBER(K752),IF(B752="",K752,IF(AND(ISNUMBER(MATCH(B752,'案件'!$A$6:$A$105,0)),OR(D752="材料費",D752="労務費",D752="外注費",D752="経費")),0,K752)),0)</f>
        <v/>
      </c>
    </row>
    <row r="753" ht="16" customHeight="1">
      <c r="A753" s="35" t="n"/>
      <c r="B753" s="36" t="n"/>
      <c r="C753" s="37">
        <f>IF(B753="","",IFERROR(INDEX('案件'!$B$6:$B$105,MATCH(B753,'案件'!$A$6:$A$105,0))&amp;"","（案件シートに無い番号）"))</f>
        <v/>
      </c>
      <c r="D753" s="36" t="n"/>
      <c r="E753" s="38" t="n"/>
      <c r="F753" s="39" t="n"/>
      <c r="G753" s="36" t="n"/>
      <c r="H753" s="40" t="n"/>
      <c r="I753" s="40" t="n"/>
      <c r="J753" s="41">
        <f>IF(ISNUMBER(H753),H753,IF(AND(D753="労務費",TRIM(E753)&lt;&gt;""),IFERROR(INDEX('設定'!$G$12:$G$31,MATCH(TRIM(E753),'設定'!$J$12:$J$31,0)),""),""))</f>
        <v/>
      </c>
      <c r="K753" s="30">
        <f>IF(AND(ISNUMBER(F753),ISNUMBER(J753)),ROUND(F753*J753,0),IF(ISNUMBER(I753),I753,""))</f>
        <v/>
      </c>
      <c r="L753" s="33" t="n"/>
      <c r="M753" s="34">
        <f>IF(COUNTA(A753:B753,D753:I753,L753)=0,"",IF(B753="","案件番号がありません",IF(ISNA(MATCH(B753,'案件'!$A$6:$A$105,0)),"案件シートに無い番号です",IF(NOT(OR(D753="材料費",D753="労務費",D753="外注費",D753="経費")),"費目を4つから選んでください",IF(K753="",IF(AND(ISNUMBER(F753),NOT(ISNUMBER(J753))),IF(D753="労務費","単価がありません（設定の作業者名と同じ書き方に）","単価がありません"),IF(AND(ISNUMBER(J753),NOT(ISNUMBER(F753))),"数量がありません","金額がありません")),IF(NOT(ISNUMBER(A753)),"日付がありません（月別集計に入りません）",IF(AND(ISNUMBER(F753),ISNUMBER(J753),ISNUMBER(I753)),"数量×単価を使いました（金額の欄は使っていません）","")))))))</f>
        <v/>
      </c>
      <c r="N753" s="91">
        <f>IF(AND(B753&lt;&gt;"",B753='案件カード'!$C$3),COUNTIF($B$5:B753,'案件カード'!$C$3),"")</f>
        <v/>
      </c>
      <c r="O753" s="91">
        <f>IF(ISNUMBER(K753),IF(B753="",K753,IF(AND(ISNUMBER(MATCH(B753,'案件'!$A$6:$A$105,0)),OR(D753="材料費",D753="労務費",D753="外注費",D753="経費")),0,K753)),0)</f>
        <v/>
      </c>
    </row>
    <row r="754" ht="16" customHeight="1">
      <c r="A754" s="35" t="n"/>
      <c r="B754" s="36" t="n"/>
      <c r="C754" s="37">
        <f>IF(B754="","",IFERROR(INDEX('案件'!$B$6:$B$105,MATCH(B754,'案件'!$A$6:$A$105,0))&amp;"","（案件シートに無い番号）"))</f>
        <v/>
      </c>
      <c r="D754" s="36" t="n"/>
      <c r="E754" s="38" t="n"/>
      <c r="F754" s="39" t="n"/>
      <c r="G754" s="36" t="n"/>
      <c r="H754" s="40" t="n"/>
      <c r="I754" s="40" t="n"/>
      <c r="J754" s="41">
        <f>IF(ISNUMBER(H754),H754,IF(AND(D754="労務費",TRIM(E754)&lt;&gt;""),IFERROR(INDEX('設定'!$G$12:$G$31,MATCH(TRIM(E754),'設定'!$J$12:$J$31,0)),""),""))</f>
        <v/>
      </c>
      <c r="K754" s="30">
        <f>IF(AND(ISNUMBER(F754),ISNUMBER(J754)),ROUND(F754*J754,0),IF(ISNUMBER(I754),I754,""))</f>
        <v/>
      </c>
      <c r="L754" s="33" t="n"/>
      <c r="M754" s="34">
        <f>IF(COUNTA(A754:B754,D754:I754,L754)=0,"",IF(B754="","案件番号がありません",IF(ISNA(MATCH(B754,'案件'!$A$6:$A$105,0)),"案件シートに無い番号です",IF(NOT(OR(D754="材料費",D754="労務費",D754="外注費",D754="経費")),"費目を4つから選んでください",IF(K754="",IF(AND(ISNUMBER(F754),NOT(ISNUMBER(J754))),IF(D754="労務費","単価がありません（設定の作業者名と同じ書き方に）","単価がありません"),IF(AND(ISNUMBER(J754),NOT(ISNUMBER(F754))),"数量がありません","金額がありません")),IF(NOT(ISNUMBER(A754)),"日付がありません（月別集計に入りません）",IF(AND(ISNUMBER(F754),ISNUMBER(J754),ISNUMBER(I754)),"数量×単価を使いました（金額の欄は使っていません）","")))))))</f>
        <v/>
      </c>
      <c r="N754" s="91">
        <f>IF(AND(B754&lt;&gt;"",B754='案件カード'!$C$3),COUNTIF($B$5:B754,'案件カード'!$C$3),"")</f>
        <v/>
      </c>
      <c r="O754" s="91">
        <f>IF(ISNUMBER(K754),IF(B754="",K754,IF(AND(ISNUMBER(MATCH(B754,'案件'!$A$6:$A$105,0)),OR(D754="材料費",D754="労務費",D754="外注費",D754="経費")),0,K754)),0)</f>
        <v/>
      </c>
    </row>
    <row r="755" ht="16" customHeight="1">
      <c r="A755" s="35" t="n"/>
      <c r="B755" s="36" t="n"/>
      <c r="C755" s="37">
        <f>IF(B755="","",IFERROR(INDEX('案件'!$B$6:$B$105,MATCH(B755,'案件'!$A$6:$A$105,0))&amp;"","（案件シートに無い番号）"))</f>
        <v/>
      </c>
      <c r="D755" s="36" t="n"/>
      <c r="E755" s="38" t="n"/>
      <c r="F755" s="39" t="n"/>
      <c r="G755" s="36" t="n"/>
      <c r="H755" s="40" t="n"/>
      <c r="I755" s="40" t="n"/>
      <c r="J755" s="41">
        <f>IF(ISNUMBER(H755),H755,IF(AND(D755="労務費",TRIM(E755)&lt;&gt;""),IFERROR(INDEX('設定'!$G$12:$G$31,MATCH(TRIM(E755),'設定'!$J$12:$J$31,0)),""),""))</f>
        <v/>
      </c>
      <c r="K755" s="30">
        <f>IF(AND(ISNUMBER(F755),ISNUMBER(J755)),ROUND(F755*J755,0),IF(ISNUMBER(I755),I755,""))</f>
        <v/>
      </c>
      <c r="L755" s="33" t="n"/>
      <c r="M755" s="34">
        <f>IF(COUNTA(A755:B755,D755:I755,L755)=0,"",IF(B755="","案件番号がありません",IF(ISNA(MATCH(B755,'案件'!$A$6:$A$105,0)),"案件シートに無い番号です",IF(NOT(OR(D755="材料費",D755="労務費",D755="外注費",D755="経費")),"費目を4つから選んでください",IF(K755="",IF(AND(ISNUMBER(F755),NOT(ISNUMBER(J755))),IF(D755="労務費","単価がありません（設定の作業者名と同じ書き方に）","単価がありません"),IF(AND(ISNUMBER(J755),NOT(ISNUMBER(F755))),"数量がありません","金額がありません")),IF(NOT(ISNUMBER(A755)),"日付がありません（月別集計に入りません）",IF(AND(ISNUMBER(F755),ISNUMBER(J755),ISNUMBER(I755)),"数量×単価を使いました（金額の欄は使っていません）","")))))))</f>
        <v/>
      </c>
      <c r="N755" s="91">
        <f>IF(AND(B755&lt;&gt;"",B755='案件カード'!$C$3),COUNTIF($B$5:B755,'案件カード'!$C$3),"")</f>
        <v/>
      </c>
      <c r="O755" s="91">
        <f>IF(ISNUMBER(K755),IF(B755="",K755,IF(AND(ISNUMBER(MATCH(B755,'案件'!$A$6:$A$105,0)),OR(D755="材料費",D755="労務費",D755="外注費",D755="経費")),0,K755)),0)</f>
        <v/>
      </c>
    </row>
    <row r="756" ht="16" customHeight="1">
      <c r="A756" s="35" t="n"/>
      <c r="B756" s="36" t="n"/>
      <c r="C756" s="37">
        <f>IF(B756="","",IFERROR(INDEX('案件'!$B$6:$B$105,MATCH(B756,'案件'!$A$6:$A$105,0))&amp;"","（案件シートに無い番号）"))</f>
        <v/>
      </c>
      <c r="D756" s="36" t="n"/>
      <c r="E756" s="38" t="n"/>
      <c r="F756" s="39" t="n"/>
      <c r="G756" s="36" t="n"/>
      <c r="H756" s="40" t="n"/>
      <c r="I756" s="40" t="n"/>
      <c r="J756" s="41">
        <f>IF(ISNUMBER(H756),H756,IF(AND(D756="労務費",TRIM(E756)&lt;&gt;""),IFERROR(INDEX('設定'!$G$12:$G$31,MATCH(TRIM(E756),'設定'!$J$12:$J$31,0)),""),""))</f>
        <v/>
      </c>
      <c r="K756" s="30">
        <f>IF(AND(ISNUMBER(F756),ISNUMBER(J756)),ROUND(F756*J756,0),IF(ISNUMBER(I756),I756,""))</f>
        <v/>
      </c>
      <c r="L756" s="33" t="n"/>
      <c r="M756" s="34">
        <f>IF(COUNTA(A756:B756,D756:I756,L756)=0,"",IF(B756="","案件番号がありません",IF(ISNA(MATCH(B756,'案件'!$A$6:$A$105,0)),"案件シートに無い番号です",IF(NOT(OR(D756="材料費",D756="労務費",D756="外注費",D756="経費")),"費目を4つから選んでください",IF(K756="",IF(AND(ISNUMBER(F756),NOT(ISNUMBER(J756))),IF(D756="労務費","単価がありません（設定の作業者名と同じ書き方に）","単価がありません"),IF(AND(ISNUMBER(J756),NOT(ISNUMBER(F756))),"数量がありません","金額がありません")),IF(NOT(ISNUMBER(A756)),"日付がありません（月別集計に入りません）",IF(AND(ISNUMBER(F756),ISNUMBER(J756),ISNUMBER(I756)),"数量×単価を使いました（金額の欄は使っていません）","")))))))</f>
        <v/>
      </c>
      <c r="N756" s="91">
        <f>IF(AND(B756&lt;&gt;"",B756='案件カード'!$C$3),COUNTIF($B$5:B756,'案件カード'!$C$3),"")</f>
        <v/>
      </c>
      <c r="O756" s="91">
        <f>IF(ISNUMBER(K756),IF(B756="",K756,IF(AND(ISNUMBER(MATCH(B756,'案件'!$A$6:$A$105,0)),OR(D756="材料費",D756="労務費",D756="外注費",D756="経費")),0,K756)),0)</f>
        <v/>
      </c>
    </row>
    <row r="757" ht="16" customHeight="1">
      <c r="A757" s="35" t="n"/>
      <c r="B757" s="36" t="n"/>
      <c r="C757" s="37">
        <f>IF(B757="","",IFERROR(INDEX('案件'!$B$6:$B$105,MATCH(B757,'案件'!$A$6:$A$105,0))&amp;"","（案件シートに無い番号）"))</f>
        <v/>
      </c>
      <c r="D757" s="36" t="n"/>
      <c r="E757" s="38" t="n"/>
      <c r="F757" s="39" t="n"/>
      <c r="G757" s="36" t="n"/>
      <c r="H757" s="40" t="n"/>
      <c r="I757" s="40" t="n"/>
      <c r="J757" s="41">
        <f>IF(ISNUMBER(H757),H757,IF(AND(D757="労務費",TRIM(E757)&lt;&gt;""),IFERROR(INDEX('設定'!$G$12:$G$31,MATCH(TRIM(E757),'設定'!$J$12:$J$31,0)),""),""))</f>
        <v/>
      </c>
      <c r="K757" s="30">
        <f>IF(AND(ISNUMBER(F757),ISNUMBER(J757)),ROUND(F757*J757,0),IF(ISNUMBER(I757),I757,""))</f>
        <v/>
      </c>
      <c r="L757" s="33" t="n"/>
      <c r="M757" s="34">
        <f>IF(COUNTA(A757:B757,D757:I757,L757)=0,"",IF(B757="","案件番号がありません",IF(ISNA(MATCH(B757,'案件'!$A$6:$A$105,0)),"案件シートに無い番号です",IF(NOT(OR(D757="材料費",D757="労務費",D757="外注費",D757="経費")),"費目を4つから選んでください",IF(K757="",IF(AND(ISNUMBER(F757),NOT(ISNUMBER(J757))),IF(D757="労務費","単価がありません（設定の作業者名と同じ書き方に）","単価がありません"),IF(AND(ISNUMBER(J757),NOT(ISNUMBER(F757))),"数量がありません","金額がありません")),IF(NOT(ISNUMBER(A757)),"日付がありません（月別集計に入りません）",IF(AND(ISNUMBER(F757),ISNUMBER(J757),ISNUMBER(I757)),"数量×単価を使いました（金額の欄は使っていません）","")))))))</f>
        <v/>
      </c>
      <c r="N757" s="91">
        <f>IF(AND(B757&lt;&gt;"",B757='案件カード'!$C$3),COUNTIF($B$5:B757,'案件カード'!$C$3),"")</f>
        <v/>
      </c>
      <c r="O757" s="91">
        <f>IF(ISNUMBER(K757),IF(B757="",K757,IF(AND(ISNUMBER(MATCH(B757,'案件'!$A$6:$A$105,0)),OR(D757="材料費",D757="労務費",D757="外注費",D757="経費")),0,K757)),0)</f>
        <v/>
      </c>
    </row>
    <row r="758" ht="16" customHeight="1">
      <c r="A758" s="35" t="n"/>
      <c r="B758" s="36" t="n"/>
      <c r="C758" s="37">
        <f>IF(B758="","",IFERROR(INDEX('案件'!$B$6:$B$105,MATCH(B758,'案件'!$A$6:$A$105,0))&amp;"","（案件シートに無い番号）"))</f>
        <v/>
      </c>
      <c r="D758" s="36" t="n"/>
      <c r="E758" s="38" t="n"/>
      <c r="F758" s="39" t="n"/>
      <c r="G758" s="36" t="n"/>
      <c r="H758" s="40" t="n"/>
      <c r="I758" s="40" t="n"/>
      <c r="J758" s="41">
        <f>IF(ISNUMBER(H758),H758,IF(AND(D758="労務費",TRIM(E758)&lt;&gt;""),IFERROR(INDEX('設定'!$G$12:$G$31,MATCH(TRIM(E758),'設定'!$J$12:$J$31,0)),""),""))</f>
        <v/>
      </c>
      <c r="K758" s="30">
        <f>IF(AND(ISNUMBER(F758),ISNUMBER(J758)),ROUND(F758*J758,0),IF(ISNUMBER(I758),I758,""))</f>
        <v/>
      </c>
      <c r="L758" s="33" t="n"/>
      <c r="M758" s="34">
        <f>IF(COUNTA(A758:B758,D758:I758,L758)=0,"",IF(B758="","案件番号がありません",IF(ISNA(MATCH(B758,'案件'!$A$6:$A$105,0)),"案件シートに無い番号です",IF(NOT(OR(D758="材料費",D758="労務費",D758="外注費",D758="経費")),"費目を4つから選んでください",IF(K758="",IF(AND(ISNUMBER(F758),NOT(ISNUMBER(J758))),IF(D758="労務費","単価がありません（設定の作業者名と同じ書き方に）","単価がありません"),IF(AND(ISNUMBER(J758),NOT(ISNUMBER(F758))),"数量がありません","金額がありません")),IF(NOT(ISNUMBER(A758)),"日付がありません（月別集計に入りません）",IF(AND(ISNUMBER(F758),ISNUMBER(J758),ISNUMBER(I758)),"数量×単価を使いました（金額の欄は使っていません）","")))))))</f>
        <v/>
      </c>
      <c r="N758" s="91">
        <f>IF(AND(B758&lt;&gt;"",B758='案件カード'!$C$3),COUNTIF($B$5:B758,'案件カード'!$C$3),"")</f>
        <v/>
      </c>
      <c r="O758" s="91">
        <f>IF(ISNUMBER(K758),IF(B758="",K758,IF(AND(ISNUMBER(MATCH(B758,'案件'!$A$6:$A$105,0)),OR(D758="材料費",D758="労務費",D758="外注費",D758="経費")),0,K758)),0)</f>
        <v/>
      </c>
    </row>
    <row r="759" ht="16" customHeight="1">
      <c r="A759" s="35" t="n"/>
      <c r="B759" s="36" t="n"/>
      <c r="C759" s="37">
        <f>IF(B759="","",IFERROR(INDEX('案件'!$B$6:$B$105,MATCH(B759,'案件'!$A$6:$A$105,0))&amp;"","（案件シートに無い番号）"))</f>
        <v/>
      </c>
      <c r="D759" s="36" t="n"/>
      <c r="E759" s="38" t="n"/>
      <c r="F759" s="39" t="n"/>
      <c r="G759" s="36" t="n"/>
      <c r="H759" s="40" t="n"/>
      <c r="I759" s="40" t="n"/>
      <c r="J759" s="41">
        <f>IF(ISNUMBER(H759),H759,IF(AND(D759="労務費",TRIM(E759)&lt;&gt;""),IFERROR(INDEX('設定'!$G$12:$G$31,MATCH(TRIM(E759),'設定'!$J$12:$J$31,0)),""),""))</f>
        <v/>
      </c>
      <c r="K759" s="30">
        <f>IF(AND(ISNUMBER(F759),ISNUMBER(J759)),ROUND(F759*J759,0),IF(ISNUMBER(I759),I759,""))</f>
        <v/>
      </c>
      <c r="L759" s="33" t="n"/>
      <c r="M759" s="34">
        <f>IF(COUNTA(A759:B759,D759:I759,L759)=0,"",IF(B759="","案件番号がありません",IF(ISNA(MATCH(B759,'案件'!$A$6:$A$105,0)),"案件シートに無い番号です",IF(NOT(OR(D759="材料費",D759="労務費",D759="外注費",D759="経費")),"費目を4つから選んでください",IF(K759="",IF(AND(ISNUMBER(F759),NOT(ISNUMBER(J759))),IF(D759="労務費","単価がありません（設定の作業者名と同じ書き方に）","単価がありません"),IF(AND(ISNUMBER(J759),NOT(ISNUMBER(F759))),"数量がありません","金額がありません")),IF(NOT(ISNUMBER(A759)),"日付がありません（月別集計に入りません）",IF(AND(ISNUMBER(F759),ISNUMBER(J759),ISNUMBER(I759)),"数量×単価を使いました（金額の欄は使っていません）","")))))))</f>
        <v/>
      </c>
      <c r="N759" s="91">
        <f>IF(AND(B759&lt;&gt;"",B759='案件カード'!$C$3),COUNTIF($B$5:B759,'案件カード'!$C$3),"")</f>
        <v/>
      </c>
      <c r="O759" s="91">
        <f>IF(ISNUMBER(K759),IF(B759="",K759,IF(AND(ISNUMBER(MATCH(B759,'案件'!$A$6:$A$105,0)),OR(D759="材料費",D759="労務費",D759="外注費",D759="経費")),0,K759)),0)</f>
        <v/>
      </c>
    </row>
    <row r="760" ht="16" customHeight="1">
      <c r="A760" s="35" t="n"/>
      <c r="B760" s="36" t="n"/>
      <c r="C760" s="37">
        <f>IF(B760="","",IFERROR(INDEX('案件'!$B$6:$B$105,MATCH(B760,'案件'!$A$6:$A$105,0))&amp;"","（案件シートに無い番号）"))</f>
        <v/>
      </c>
      <c r="D760" s="36" t="n"/>
      <c r="E760" s="38" t="n"/>
      <c r="F760" s="39" t="n"/>
      <c r="G760" s="36" t="n"/>
      <c r="H760" s="40" t="n"/>
      <c r="I760" s="40" t="n"/>
      <c r="J760" s="41">
        <f>IF(ISNUMBER(H760),H760,IF(AND(D760="労務費",TRIM(E760)&lt;&gt;""),IFERROR(INDEX('設定'!$G$12:$G$31,MATCH(TRIM(E760),'設定'!$J$12:$J$31,0)),""),""))</f>
        <v/>
      </c>
      <c r="K760" s="30">
        <f>IF(AND(ISNUMBER(F760),ISNUMBER(J760)),ROUND(F760*J760,0),IF(ISNUMBER(I760),I760,""))</f>
        <v/>
      </c>
      <c r="L760" s="33" t="n"/>
      <c r="M760" s="34">
        <f>IF(COUNTA(A760:B760,D760:I760,L760)=0,"",IF(B760="","案件番号がありません",IF(ISNA(MATCH(B760,'案件'!$A$6:$A$105,0)),"案件シートに無い番号です",IF(NOT(OR(D760="材料費",D760="労務費",D760="外注費",D760="経費")),"費目を4つから選んでください",IF(K760="",IF(AND(ISNUMBER(F760),NOT(ISNUMBER(J760))),IF(D760="労務費","単価がありません（設定の作業者名と同じ書き方に）","単価がありません"),IF(AND(ISNUMBER(J760),NOT(ISNUMBER(F760))),"数量がありません","金額がありません")),IF(NOT(ISNUMBER(A760)),"日付がありません（月別集計に入りません）",IF(AND(ISNUMBER(F760),ISNUMBER(J760),ISNUMBER(I760)),"数量×単価を使いました（金額の欄は使っていません）","")))))))</f>
        <v/>
      </c>
      <c r="N760" s="91">
        <f>IF(AND(B760&lt;&gt;"",B760='案件カード'!$C$3),COUNTIF($B$5:B760,'案件カード'!$C$3),"")</f>
        <v/>
      </c>
      <c r="O760" s="91">
        <f>IF(ISNUMBER(K760),IF(B760="",K760,IF(AND(ISNUMBER(MATCH(B760,'案件'!$A$6:$A$105,0)),OR(D760="材料費",D760="労務費",D760="外注費",D760="経費")),0,K760)),0)</f>
        <v/>
      </c>
    </row>
    <row r="761" ht="16" customHeight="1">
      <c r="A761" s="35" t="n"/>
      <c r="B761" s="36" t="n"/>
      <c r="C761" s="37">
        <f>IF(B761="","",IFERROR(INDEX('案件'!$B$6:$B$105,MATCH(B761,'案件'!$A$6:$A$105,0))&amp;"","（案件シートに無い番号）"))</f>
        <v/>
      </c>
      <c r="D761" s="36" t="n"/>
      <c r="E761" s="38" t="n"/>
      <c r="F761" s="39" t="n"/>
      <c r="G761" s="36" t="n"/>
      <c r="H761" s="40" t="n"/>
      <c r="I761" s="40" t="n"/>
      <c r="J761" s="41">
        <f>IF(ISNUMBER(H761),H761,IF(AND(D761="労務費",TRIM(E761)&lt;&gt;""),IFERROR(INDEX('設定'!$G$12:$G$31,MATCH(TRIM(E761),'設定'!$J$12:$J$31,0)),""),""))</f>
        <v/>
      </c>
      <c r="K761" s="30">
        <f>IF(AND(ISNUMBER(F761),ISNUMBER(J761)),ROUND(F761*J761,0),IF(ISNUMBER(I761),I761,""))</f>
        <v/>
      </c>
      <c r="L761" s="33" t="n"/>
      <c r="M761" s="34">
        <f>IF(COUNTA(A761:B761,D761:I761,L761)=0,"",IF(B761="","案件番号がありません",IF(ISNA(MATCH(B761,'案件'!$A$6:$A$105,0)),"案件シートに無い番号です",IF(NOT(OR(D761="材料費",D761="労務費",D761="外注費",D761="経費")),"費目を4つから選んでください",IF(K761="",IF(AND(ISNUMBER(F761),NOT(ISNUMBER(J761))),IF(D761="労務費","単価がありません（設定の作業者名と同じ書き方に）","単価がありません"),IF(AND(ISNUMBER(J761),NOT(ISNUMBER(F761))),"数量がありません","金額がありません")),IF(NOT(ISNUMBER(A761)),"日付がありません（月別集計に入りません）",IF(AND(ISNUMBER(F761),ISNUMBER(J761),ISNUMBER(I761)),"数量×単価を使いました（金額の欄は使っていません）","")))))))</f>
        <v/>
      </c>
      <c r="N761" s="91">
        <f>IF(AND(B761&lt;&gt;"",B761='案件カード'!$C$3),COUNTIF($B$5:B761,'案件カード'!$C$3),"")</f>
        <v/>
      </c>
      <c r="O761" s="91">
        <f>IF(ISNUMBER(K761),IF(B761="",K761,IF(AND(ISNUMBER(MATCH(B761,'案件'!$A$6:$A$105,0)),OR(D761="材料費",D761="労務費",D761="外注費",D761="経費")),0,K761)),0)</f>
        <v/>
      </c>
    </row>
    <row r="762" ht="16" customHeight="1">
      <c r="A762" s="35" t="n"/>
      <c r="B762" s="36" t="n"/>
      <c r="C762" s="37">
        <f>IF(B762="","",IFERROR(INDEX('案件'!$B$6:$B$105,MATCH(B762,'案件'!$A$6:$A$105,0))&amp;"","（案件シートに無い番号）"))</f>
        <v/>
      </c>
      <c r="D762" s="36" t="n"/>
      <c r="E762" s="38" t="n"/>
      <c r="F762" s="39" t="n"/>
      <c r="G762" s="36" t="n"/>
      <c r="H762" s="40" t="n"/>
      <c r="I762" s="40" t="n"/>
      <c r="J762" s="41">
        <f>IF(ISNUMBER(H762),H762,IF(AND(D762="労務費",TRIM(E762)&lt;&gt;""),IFERROR(INDEX('設定'!$G$12:$G$31,MATCH(TRIM(E762),'設定'!$J$12:$J$31,0)),""),""))</f>
        <v/>
      </c>
      <c r="K762" s="30">
        <f>IF(AND(ISNUMBER(F762),ISNUMBER(J762)),ROUND(F762*J762,0),IF(ISNUMBER(I762),I762,""))</f>
        <v/>
      </c>
      <c r="L762" s="33" t="n"/>
      <c r="M762" s="34">
        <f>IF(COUNTA(A762:B762,D762:I762,L762)=0,"",IF(B762="","案件番号がありません",IF(ISNA(MATCH(B762,'案件'!$A$6:$A$105,0)),"案件シートに無い番号です",IF(NOT(OR(D762="材料費",D762="労務費",D762="外注費",D762="経費")),"費目を4つから選んでください",IF(K762="",IF(AND(ISNUMBER(F762),NOT(ISNUMBER(J762))),IF(D762="労務費","単価がありません（設定の作業者名と同じ書き方に）","単価がありません"),IF(AND(ISNUMBER(J762),NOT(ISNUMBER(F762))),"数量がありません","金額がありません")),IF(NOT(ISNUMBER(A762)),"日付がありません（月別集計に入りません）",IF(AND(ISNUMBER(F762),ISNUMBER(J762),ISNUMBER(I762)),"数量×単価を使いました（金額の欄は使っていません）","")))))))</f>
        <v/>
      </c>
      <c r="N762" s="91">
        <f>IF(AND(B762&lt;&gt;"",B762='案件カード'!$C$3),COUNTIF($B$5:B762,'案件カード'!$C$3),"")</f>
        <v/>
      </c>
      <c r="O762" s="91">
        <f>IF(ISNUMBER(K762),IF(B762="",K762,IF(AND(ISNUMBER(MATCH(B762,'案件'!$A$6:$A$105,0)),OR(D762="材料費",D762="労務費",D762="外注費",D762="経費")),0,K762)),0)</f>
        <v/>
      </c>
    </row>
    <row r="763" ht="16" customHeight="1">
      <c r="A763" s="35" t="n"/>
      <c r="B763" s="36" t="n"/>
      <c r="C763" s="37">
        <f>IF(B763="","",IFERROR(INDEX('案件'!$B$6:$B$105,MATCH(B763,'案件'!$A$6:$A$105,0))&amp;"","（案件シートに無い番号）"))</f>
        <v/>
      </c>
      <c r="D763" s="36" t="n"/>
      <c r="E763" s="38" t="n"/>
      <c r="F763" s="39" t="n"/>
      <c r="G763" s="36" t="n"/>
      <c r="H763" s="40" t="n"/>
      <c r="I763" s="40" t="n"/>
      <c r="J763" s="41">
        <f>IF(ISNUMBER(H763),H763,IF(AND(D763="労務費",TRIM(E763)&lt;&gt;""),IFERROR(INDEX('設定'!$G$12:$G$31,MATCH(TRIM(E763),'設定'!$J$12:$J$31,0)),""),""))</f>
        <v/>
      </c>
      <c r="K763" s="30">
        <f>IF(AND(ISNUMBER(F763),ISNUMBER(J763)),ROUND(F763*J763,0),IF(ISNUMBER(I763),I763,""))</f>
        <v/>
      </c>
      <c r="L763" s="33" t="n"/>
      <c r="M763" s="34">
        <f>IF(COUNTA(A763:B763,D763:I763,L763)=0,"",IF(B763="","案件番号がありません",IF(ISNA(MATCH(B763,'案件'!$A$6:$A$105,0)),"案件シートに無い番号です",IF(NOT(OR(D763="材料費",D763="労務費",D763="外注費",D763="経費")),"費目を4つから選んでください",IF(K763="",IF(AND(ISNUMBER(F763),NOT(ISNUMBER(J763))),IF(D763="労務費","単価がありません（設定の作業者名と同じ書き方に）","単価がありません"),IF(AND(ISNUMBER(J763),NOT(ISNUMBER(F763))),"数量がありません","金額がありません")),IF(NOT(ISNUMBER(A763)),"日付がありません（月別集計に入りません）",IF(AND(ISNUMBER(F763),ISNUMBER(J763),ISNUMBER(I763)),"数量×単価を使いました（金額の欄は使っていません）","")))))))</f>
        <v/>
      </c>
      <c r="N763" s="91">
        <f>IF(AND(B763&lt;&gt;"",B763='案件カード'!$C$3),COUNTIF($B$5:B763,'案件カード'!$C$3),"")</f>
        <v/>
      </c>
      <c r="O763" s="91">
        <f>IF(ISNUMBER(K763),IF(B763="",K763,IF(AND(ISNUMBER(MATCH(B763,'案件'!$A$6:$A$105,0)),OR(D763="材料費",D763="労務費",D763="外注費",D763="経費")),0,K763)),0)</f>
        <v/>
      </c>
    </row>
    <row r="764" ht="16" customHeight="1">
      <c r="A764" s="35" t="n"/>
      <c r="B764" s="36" t="n"/>
      <c r="C764" s="37">
        <f>IF(B764="","",IFERROR(INDEX('案件'!$B$6:$B$105,MATCH(B764,'案件'!$A$6:$A$105,0))&amp;"","（案件シートに無い番号）"))</f>
        <v/>
      </c>
      <c r="D764" s="36" t="n"/>
      <c r="E764" s="38" t="n"/>
      <c r="F764" s="39" t="n"/>
      <c r="G764" s="36" t="n"/>
      <c r="H764" s="40" t="n"/>
      <c r="I764" s="40" t="n"/>
      <c r="J764" s="41">
        <f>IF(ISNUMBER(H764),H764,IF(AND(D764="労務費",TRIM(E764)&lt;&gt;""),IFERROR(INDEX('設定'!$G$12:$G$31,MATCH(TRIM(E764),'設定'!$J$12:$J$31,0)),""),""))</f>
        <v/>
      </c>
      <c r="K764" s="30">
        <f>IF(AND(ISNUMBER(F764),ISNUMBER(J764)),ROUND(F764*J764,0),IF(ISNUMBER(I764),I764,""))</f>
        <v/>
      </c>
      <c r="L764" s="33" t="n"/>
      <c r="M764" s="34">
        <f>IF(COUNTA(A764:B764,D764:I764,L764)=0,"",IF(B764="","案件番号がありません",IF(ISNA(MATCH(B764,'案件'!$A$6:$A$105,0)),"案件シートに無い番号です",IF(NOT(OR(D764="材料費",D764="労務費",D764="外注費",D764="経費")),"費目を4つから選んでください",IF(K764="",IF(AND(ISNUMBER(F764),NOT(ISNUMBER(J764))),IF(D764="労務費","単価がありません（設定の作業者名と同じ書き方に）","単価がありません"),IF(AND(ISNUMBER(J764),NOT(ISNUMBER(F764))),"数量がありません","金額がありません")),IF(NOT(ISNUMBER(A764)),"日付がありません（月別集計に入りません）",IF(AND(ISNUMBER(F764),ISNUMBER(J764),ISNUMBER(I764)),"数量×単価を使いました（金額の欄は使っていません）","")))))))</f>
        <v/>
      </c>
      <c r="N764" s="91">
        <f>IF(AND(B764&lt;&gt;"",B764='案件カード'!$C$3),COUNTIF($B$5:B764,'案件カード'!$C$3),"")</f>
        <v/>
      </c>
      <c r="O764" s="91">
        <f>IF(ISNUMBER(K764),IF(B764="",K764,IF(AND(ISNUMBER(MATCH(B764,'案件'!$A$6:$A$105,0)),OR(D764="材料費",D764="労務費",D764="外注費",D764="経費")),0,K764)),0)</f>
        <v/>
      </c>
    </row>
    <row r="765" ht="16" customHeight="1">
      <c r="A765" s="35" t="n"/>
      <c r="B765" s="36" t="n"/>
      <c r="C765" s="37">
        <f>IF(B765="","",IFERROR(INDEX('案件'!$B$6:$B$105,MATCH(B765,'案件'!$A$6:$A$105,0))&amp;"","（案件シートに無い番号）"))</f>
        <v/>
      </c>
      <c r="D765" s="36" t="n"/>
      <c r="E765" s="38" t="n"/>
      <c r="F765" s="39" t="n"/>
      <c r="G765" s="36" t="n"/>
      <c r="H765" s="40" t="n"/>
      <c r="I765" s="40" t="n"/>
      <c r="J765" s="41">
        <f>IF(ISNUMBER(H765),H765,IF(AND(D765="労務費",TRIM(E765)&lt;&gt;""),IFERROR(INDEX('設定'!$G$12:$G$31,MATCH(TRIM(E765),'設定'!$J$12:$J$31,0)),""),""))</f>
        <v/>
      </c>
      <c r="K765" s="30">
        <f>IF(AND(ISNUMBER(F765),ISNUMBER(J765)),ROUND(F765*J765,0),IF(ISNUMBER(I765),I765,""))</f>
        <v/>
      </c>
      <c r="L765" s="33" t="n"/>
      <c r="M765" s="34">
        <f>IF(COUNTA(A765:B765,D765:I765,L765)=0,"",IF(B765="","案件番号がありません",IF(ISNA(MATCH(B765,'案件'!$A$6:$A$105,0)),"案件シートに無い番号です",IF(NOT(OR(D765="材料費",D765="労務費",D765="外注費",D765="経費")),"費目を4つから選んでください",IF(K765="",IF(AND(ISNUMBER(F765),NOT(ISNUMBER(J765))),IF(D765="労務費","単価がありません（設定の作業者名と同じ書き方に）","単価がありません"),IF(AND(ISNUMBER(J765),NOT(ISNUMBER(F765))),"数量がありません","金額がありません")),IF(NOT(ISNUMBER(A765)),"日付がありません（月別集計に入りません）",IF(AND(ISNUMBER(F765),ISNUMBER(J765),ISNUMBER(I765)),"数量×単価を使いました（金額の欄は使っていません）","")))))))</f>
        <v/>
      </c>
      <c r="N765" s="91">
        <f>IF(AND(B765&lt;&gt;"",B765='案件カード'!$C$3),COUNTIF($B$5:B765,'案件カード'!$C$3),"")</f>
        <v/>
      </c>
      <c r="O765" s="91">
        <f>IF(ISNUMBER(K765),IF(B765="",K765,IF(AND(ISNUMBER(MATCH(B765,'案件'!$A$6:$A$105,0)),OR(D765="材料費",D765="労務費",D765="外注費",D765="経費")),0,K765)),0)</f>
        <v/>
      </c>
    </row>
    <row r="766" ht="16" customHeight="1">
      <c r="A766" s="35" t="n"/>
      <c r="B766" s="36" t="n"/>
      <c r="C766" s="37">
        <f>IF(B766="","",IFERROR(INDEX('案件'!$B$6:$B$105,MATCH(B766,'案件'!$A$6:$A$105,0))&amp;"","（案件シートに無い番号）"))</f>
        <v/>
      </c>
      <c r="D766" s="36" t="n"/>
      <c r="E766" s="38" t="n"/>
      <c r="F766" s="39" t="n"/>
      <c r="G766" s="36" t="n"/>
      <c r="H766" s="40" t="n"/>
      <c r="I766" s="40" t="n"/>
      <c r="J766" s="41">
        <f>IF(ISNUMBER(H766),H766,IF(AND(D766="労務費",TRIM(E766)&lt;&gt;""),IFERROR(INDEX('設定'!$G$12:$G$31,MATCH(TRIM(E766),'設定'!$J$12:$J$31,0)),""),""))</f>
        <v/>
      </c>
      <c r="K766" s="30">
        <f>IF(AND(ISNUMBER(F766),ISNUMBER(J766)),ROUND(F766*J766,0),IF(ISNUMBER(I766),I766,""))</f>
        <v/>
      </c>
      <c r="L766" s="33" t="n"/>
      <c r="M766" s="34">
        <f>IF(COUNTA(A766:B766,D766:I766,L766)=0,"",IF(B766="","案件番号がありません",IF(ISNA(MATCH(B766,'案件'!$A$6:$A$105,0)),"案件シートに無い番号です",IF(NOT(OR(D766="材料費",D766="労務費",D766="外注費",D766="経費")),"費目を4つから選んでください",IF(K766="",IF(AND(ISNUMBER(F766),NOT(ISNUMBER(J766))),IF(D766="労務費","単価がありません（設定の作業者名と同じ書き方に）","単価がありません"),IF(AND(ISNUMBER(J766),NOT(ISNUMBER(F766))),"数量がありません","金額がありません")),IF(NOT(ISNUMBER(A766)),"日付がありません（月別集計に入りません）",IF(AND(ISNUMBER(F766),ISNUMBER(J766),ISNUMBER(I766)),"数量×単価を使いました（金額の欄は使っていません）","")))))))</f>
        <v/>
      </c>
      <c r="N766" s="91">
        <f>IF(AND(B766&lt;&gt;"",B766='案件カード'!$C$3),COUNTIF($B$5:B766,'案件カード'!$C$3),"")</f>
        <v/>
      </c>
      <c r="O766" s="91">
        <f>IF(ISNUMBER(K766),IF(B766="",K766,IF(AND(ISNUMBER(MATCH(B766,'案件'!$A$6:$A$105,0)),OR(D766="材料費",D766="労務費",D766="外注費",D766="経費")),0,K766)),0)</f>
        <v/>
      </c>
    </row>
    <row r="767" ht="16" customHeight="1">
      <c r="A767" s="35" t="n"/>
      <c r="B767" s="36" t="n"/>
      <c r="C767" s="37">
        <f>IF(B767="","",IFERROR(INDEX('案件'!$B$6:$B$105,MATCH(B767,'案件'!$A$6:$A$105,0))&amp;"","（案件シートに無い番号）"))</f>
        <v/>
      </c>
      <c r="D767" s="36" t="n"/>
      <c r="E767" s="38" t="n"/>
      <c r="F767" s="39" t="n"/>
      <c r="G767" s="36" t="n"/>
      <c r="H767" s="40" t="n"/>
      <c r="I767" s="40" t="n"/>
      <c r="J767" s="41">
        <f>IF(ISNUMBER(H767),H767,IF(AND(D767="労務費",TRIM(E767)&lt;&gt;""),IFERROR(INDEX('設定'!$G$12:$G$31,MATCH(TRIM(E767),'設定'!$J$12:$J$31,0)),""),""))</f>
        <v/>
      </c>
      <c r="K767" s="30">
        <f>IF(AND(ISNUMBER(F767),ISNUMBER(J767)),ROUND(F767*J767,0),IF(ISNUMBER(I767),I767,""))</f>
        <v/>
      </c>
      <c r="L767" s="33" t="n"/>
      <c r="M767" s="34">
        <f>IF(COUNTA(A767:B767,D767:I767,L767)=0,"",IF(B767="","案件番号がありません",IF(ISNA(MATCH(B767,'案件'!$A$6:$A$105,0)),"案件シートに無い番号です",IF(NOT(OR(D767="材料費",D767="労務費",D767="外注費",D767="経費")),"費目を4つから選んでください",IF(K767="",IF(AND(ISNUMBER(F767),NOT(ISNUMBER(J767))),IF(D767="労務費","単価がありません（設定の作業者名と同じ書き方に）","単価がありません"),IF(AND(ISNUMBER(J767),NOT(ISNUMBER(F767))),"数量がありません","金額がありません")),IF(NOT(ISNUMBER(A767)),"日付がありません（月別集計に入りません）",IF(AND(ISNUMBER(F767),ISNUMBER(J767),ISNUMBER(I767)),"数量×単価を使いました（金額の欄は使っていません）","")))))))</f>
        <v/>
      </c>
      <c r="N767" s="91">
        <f>IF(AND(B767&lt;&gt;"",B767='案件カード'!$C$3),COUNTIF($B$5:B767,'案件カード'!$C$3),"")</f>
        <v/>
      </c>
      <c r="O767" s="91">
        <f>IF(ISNUMBER(K767),IF(B767="",K767,IF(AND(ISNUMBER(MATCH(B767,'案件'!$A$6:$A$105,0)),OR(D767="材料費",D767="労務費",D767="外注費",D767="経費")),0,K767)),0)</f>
        <v/>
      </c>
    </row>
    <row r="768" ht="16" customHeight="1">
      <c r="A768" s="35" t="n"/>
      <c r="B768" s="36" t="n"/>
      <c r="C768" s="37">
        <f>IF(B768="","",IFERROR(INDEX('案件'!$B$6:$B$105,MATCH(B768,'案件'!$A$6:$A$105,0))&amp;"","（案件シートに無い番号）"))</f>
        <v/>
      </c>
      <c r="D768" s="36" t="n"/>
      <c r="E768" s="38" t="n"/>
      <c r="F768" s="39" t="n"/>
      <c r="G768" s="36" t="n"/>
      <c r="H768" s="40" t="n"/>
      <c r="I768" s="40" t="n"/>
      <c r="J768" s="41">
        <f>IF(ISNUMBER(H768),H768,IF(AND(D768="労務費",TRIM(E768)&lt;&gt;""),IFERROR(INDEX('設定'!$G$12:$G$31,MATCH(TRIM(E768),'設定'!$J$12:$J$31,0)),""),""))</f>
        <v/>
      </c>
      <c r="K768" s="30">
        <f>IF(AND(ISNUMBER(F768),ISNUMBER(J768)),ROUND(F768*J768,0),IF(ISNUMBER(I768),I768,""))</f>
        <v/>
      </c>
      <c r="L768" s="33" t="n"/>
      <c r="M768" s="34">
        <f>IF(COUNTA(A768:B768,D768:I768,L768)=0,"",IF(B768="","案件番号がありません",IF(ISNA(MATCH(B768,'案件'!$A$6:$A$105,0)),"案件シートに無い番号です",IF(NOT(OR(D768="材料費",D768="労務費",D768="外注費",D768="経費")),"費目を4つから選んでください",IF(K768="",IF(AND(ISNUMBER(F768),NOT(ISNUMBER(J768))),IF(D768="労務費","単価がありません（設定の作業者名と同じ書き方に）","単価がありません"),IF(AND(ISNUMBER(J768),NOT(ISNUMBER(F768))),"数量がありません","金額がありません")),IF(NOT(ISNUMBER(A768)),"日付がありません（月別集計に入りません）",IF(AND(ISNUMBER(F768),ISNUMBER(J768),ISNUMBER(I768)),"数量×単価を使いました（金額の欄は使っていません）","")))))))</f>
        <v/>
      </c>
      <c r="N768" s="91">
        <f>IF(AND(B768&lt;&gt;"",B768='案件カード'!$C$3),COUNTIF($B$5:B768,'案件カード'!$C$3),"")</f>
        <v/>
      </c>
      <c r="O768" s="91">
        <f>IF(ISNUMBER(K768),IF(B768="",K768,IF(AND(ISNUMBER(MATCH(B768,'案件'!$A$6:$A$105,0)),OR(D768="材料費",D768="労務費",D768="外注費",D768="経費")),0,K768)),0)</f>
        <v/>
      </c>
    </row>
    <row r="769" ht="16" customHeight="1">
      <c r="A769" s="35" t="n"/>
      <c r="B769" s="36" t="n"/>
      <c r="C769" s="37">
        <f>IF(B769="","",IFERROR(INDEX('案件'!$B$6:$B$105,MATCH(B769,'案件'!$A$6:$A$105,0))&amp;"","（案件シートに無い番号）"))</f>
        <v/>
      </c>
      <c r="D769" s="36" t="n"/>
      <c r="E769" s="38" t="n"/>
      <c r="F769" s="39" t="n"/>
      <c r="G769" s="36" t="n"/>
      <c r="H769" s="40" t="n"/>
      <c r="I769" s="40" t="n"/>
      <c r="J769" s="41">
        <f>IF(ISNUMBER(H769),H769,IF(AND(D769="労務費",TRIM(E769)&lt;&gt;""),IFERROR(INDEX('設定'!$G$12:$G$31,MATCH(TRIM(E769),'設定'!$J$12:$J$31,0)),""),""))</f>
        <v/>
      </c>
      <c r="K769" s="30">
        <f>IF(AND(ISNUMBER(F769),ISNUMBER(J769)),ROUND(F769*J769,0),IF(ISNUMBER(I769),I769,""))</f>
        <v/>
      </c>
      <c r="L769" s="33" t="n"/>
      <c r="M769" s="34">
        <f>IF(COUNTA(A769:B769,D769:I769,L769)=0,"",IF(B769="","案件番号がありません",IF(ISNA(MATCH(B769,'案件'!$A$6:$A$105,0)),"案件シートに無い番号です",IF(NOT(OR(D769="材料費",D769="労務費",D769="外注費",D769="経費")),"費目を4つから選んでください",IF(K769="",IF(AND(ISNUMBER(F769),NOT(ISNUMBER(J769))),IF(D769="労務費","単価がありません（設定の作業者名と同じ書き方に）","単価がありません"),IF(AND(ISNUMBER(J769),NOT(ISNUMBER(F769))),"数量がありません","金額がありません")),IF(NOT(ISNUMBER(A769)),"日付がありません（月別集計に入りません）",IF(AND(ISNUMBER(F769),ISNUMBER(J769),ISNUMBER(I769)),"数量×単価を使いました（金額の欄は使っていません）","")))))))</f>
        <v/>
      </c>
      <c r="N769" s="91">
        <f>IF(AND(B769&lt;&gt;"",B769='案件カード'!$C$3),COUNTIF($B$5:B769,'案件カード'!$C$3),"")</f>
        <v/>
      </c>
      <c r="O769" s="91">
        <f>IF(ISNUMBER(K769),IF(B769="",K769,IF(AND(ISNUMBER(MATCH(B769,'案件'!$A$6:$A$105,0)),OR(D769="材料費",D769="労務費",D769="外注費",D769="経費")),0,K769)),0)</f>
        <v/>
      </c>
    </row>
    <row r="770" ht="16" customHeight="1">
      <c r="A770" s="35" t="n"/>
      <c r="B770" s="36" t="n"/>
      <c r="C770" s="37">
        <f>IF(B770="","",IFERROR(INDEX('案件'!$B$6:$B$105,MATCH(B770,'案件'!$A$6:$A$105,0))&amp;"","（案件シートに無い番号）"))</f>
        <v/>
      </c>
      <c r="D770" s="36" t="n"/>
      <c r="E770" s="38" t="n"/>
      <c r="F770" s="39" t="n"/>
      <c r="G770" s="36" t="n"/>
      <c r="H770" s="40" t="n"/>
      <c r="I770" s="40" t="n"/>
      <c r="J770" s="41">
        <f>IF(ISNUMBER(H770),H770,IF(AND(D770="労務費",TRIM(E770)&lt;&gt;""),IFERROR(INDEX('設定'!$G$12:$G$31,MATCH(TRIM(E770),'設定'!$J$12:$J$31,0)),""),""))</f>
        <v/>
      </c>
      <c r="K770" s="30">
        <f>IF(AND(ISNUMBER(F770),ISNUMBER(J770)),ROUND(F770*J770,0),IF(ISNUMBER(I770),I770,""))</f>
        <v/>
      </c>
      <c r="L770" s="33" t="n"/>
      <c r="M770" s="34">
        <f>IF(COUNTA(A770:B770,D770:I770,L770)=0,"",IF(B770="","案件番号がありません",IF(ISNA(MATCH(B770,'案件'!$A$6:$A$105,0)),"案件シートに無い番号です",IF(NOT(OR(D770="材料費",D770="労務費",D770="外注費",D770="経費")),"費目を4つから選んでください",IF(K770="",IF(AND(ISNUMBER(F770),NOT(ISNUMBER(J770))),IF(D770="労務費","単価がありません（設定の作業者名と同じ書き方に）","単価がありません"),IF(AND(ISNUMBER(J770),NOT(ISNUMBER(F770))),"数量がありません","金額がありません")),IF(NOT(ISNUMBER(A770)),"日付がありません（月別集計に入りません）",IF(AND(ISNUMBER(F770),ISNUMBER(J770),ISNUMBER(I770)),"数量×単価を使いました（金額の欄は使っていません）","")))))))</f>
        <v/>
      </c>
      <c r="N770" s="91">
        <f>IF(AND(B770&lt;&gt;"",B770='案件カード'!$C$3),COUNTIF($B$5:B770,'案件カード'!$C$3),"")</f>
        <v/>
      </c>
      <c r="O770" s="91">
        <f>IF(ISNUMBER(K770),IF(B770="",K770,IF(AND(ISNUMBER(MATCH(B770,'案件'!$A$6:$A$105,0)),OR(D770="材料費",D770="労務費",D770="外注費",D770="経費")),0,K770)),0)</f>
        <v/>
      </c>
    </row>
    <row r="771" ht="16" customHeight="1">
      <c r="A771" s="35" t="n"/>
      <c r="B771" s="36" t="n"/>
      <c r="C771" s="37">
        <f>IF(B771="","",IFERROR(INDEX('案件'!$B$6:$B$105,MATCH(B771,'案件'!$A$6:$A$105,0))&amp;"","（案件シートに無い番号）"))</f>
        <v/>
      </c>
      <c r="D771" s="36" t="n"/>
      <c r="E771" s="38" t="n"/>
      <c r="F771" s="39" t="n"/>
      <c r="G771" s="36" t="n"/>
      <c r="H771" s="40" t="n"/>
      <c r="I771" s="40" t="n"/>
      <c r="J771" s="41">
        <f>IF(ISNUMBER(H771),H771,IF(AND(D771="労務費",TRIM(E771)&lt;&gt;""),IFERROR(INDEX('設定'!$G$12:$G$31,MATCH(TRIM(E771),'設定'!$J$12:$J$31,0)),""),""))</f>
        <v/>
      </c>
      <c r="K771" s="30">
        <f>IF(AND(ISNUMBER(F771),ISNUMBER(J771)),ROUND(F771*J771,0),IF(ISNUMBER(I771),I771,""))</f>
        <v/>
      </c>
      <c r="L771" s="33" t="n"/>
      <c r="M771" s="34">
        <f>IF(COUNTA(A771:B771,D771:I771,L771)=0,"",IF(B771="","案件番号がありません",IF(ISNA(MATCH(B771,'案件'!$A$6:$A$105,0)),"案件シートに無い番号です",IF(NOT(OR(D771="材料費",D771="労務費",D771="外注費",D771="経費")),"費目を4つから選んでください",IF(K771="",IF(AND(ISNUMBER(F771),NOT(ISNUMBER(J771))),IF(D771="労務費","単価がありません（設定の作業者名と同じ書き方に）","単価がありません"),IF(AND(ISNUMBER(J771),NOT(ISNUMBER(F771))),"数量がありません","金額がありません")),IF(NOT(ISNUMBER(A771)),"日付がありません（月別集計に入りません）",IF(AND(ISNUMBER(F771),ISNUMBER(J771),ISNUMBER(I771)),"数量×単価を使いました（金額の欄は使っていません）","")))))))</f>
        <v/>
      </c>
      <c r="N771" s="91">
        <f>IF(AND(B771&lt;&gt;"",B771='案件カード'!$C$3),COUNTIF($B$5:B771,'案件カード'!$C$3),"")</f>
        <v/>
      </c>
      <c r="O771" s="91">
        <f>IF(ISNUMBER(K771),IF(B771="",K771,IF(AND(ISNUMBER(MATCH(B771,'案件'!$A$6:$A$105,0)),OR(D771="材料費",D771="労務費",D771="外注費",D771="経費")),0,K771)),0)</f>
        <v/>
      </c>
    </row>
    <row r="772" ht="16" customHeight="1">
      <c r="A772" s="35" t="n"/>
      <c r="B772" s="36" t="n"/>
      <c r="C772" s="37">
        <f>IF(B772="","",IFERROR(INDEX('案件'!$B$6:$B$105,MATCH(B772,'案件'!$A$6:$A$105,0))&amp;"","（案件シートに無い番号）"))</f>
        <v/>
      </c>
      <c r="D772" s="36" t="n"/>
      <c r="E772" s="38" t="n"/>
      <c r="F772" s="39" t="n"/>
      <c r="G772" s="36" t="n"/>
      <c r="H772" s="40" t="n"/>
      <c r="I772" s="40" t="n"/>
      <c r="J772" s="41">
        <f>IF(ISNUMBER(H772),H772,IF(AND(D772="労務費",TRIM(E772)&lt;&gt;""),IFERROR(INDEX('設定'!$G$12:$G$31,MATCH(TRIM(E772),'設定'!$J$12:$J$31,0)),""),""))</f>
        <v/>
      </c>
      <c r="K772" s="30">
        <f>IF(AND(ISNUMBER(F772),ISNUMBER(J772)),ROUND(F772*J772,0),IF(ISNUMBER(I772),I772,""))</f>
        <v/>
      </c>
      <c r="L772" s="33" t="n"/>
      <c r="M772" s="34">
        <f>IF(COUNTA(A772:B772,D772:I772,L772)=0,"",IF(B772="","案件番号がありません",IF(ISNA(MATCH(B772,'案件'!$A$6:$A$105,0)),"案件シートに無い番号です",IF(NOT(OR(D772="材料費",D772="労務費",D772="外注費",D772="経費")),"費目を4つから選んでください",IF(K772="",IF(AND(ISNUMBER(F772),NOT(ISNUMBER(J772))),IF(D772="労務費","単価がありません（設定の作業者名と同じ書き方に）","単価がありません"),IF(AND(ISNUMBER(J772),NOT(ISNUMBER(F772))),"数量がありません","金額がありません")),IF(NOT(ISNUMBER(A772)),"日付がありません（月別集計に入りません）",IF(AND(ISNUMBER(F772),ISNUMBER(J772),ISNUMBER(I772)),"数量×単価を使いました（金額の欄は使っていません）","")))))))</f>
        <v/>
      </c>
      <c r="N772" s="91">
        <f>IF(AND(B772&lt;&gt;"",B772='案件カード'!$C$3),COUNTIF($B$5:B772,'案件カード'!$C$3),"")</f>
        <v/>
      </c>
      <c r="O772" s="91">
        <f>IF(ISNUMBER(K772),IF(B772="",K772,IF(AND(ISNUMBER(MATCH(B772,'案件'!$A$6:$A$105,0)),OR(D772="材料費",D772="労務費",D772="外注費",D772="経費")),0,K772)),0)</f>
        <v/>
      </c>
    </row>
    <row r="773" ht="16" customHeight="1">
      <c r="A773" s="35" t="n"/>
      <c r="B773" s="36" t="n"/>
      <c r="C773" s="37">
        <f>IF(B773="","",IFERROR(INDEX('案件'!$B$6:$B$105,MATCH(B773,'案件'!$A$6:$A$105,0))&amp;"","（案件シートに無い番号）"))</f>
        <v/>
      </c>
      <c r="D773" s="36" t="n"/>
      <c r="E773" s="38" t="n"/>
      <c r="F773" s="39" t="n"/>
      <c r="G773" s="36" t="n"/>
      <c r="H773" s="40" t="n"/>
      <c r="I773" s="40" t="n"/>
      <c r="J773" s="41">
        <f>IF(ISNUMBER(H773),H773,IF(AND(D773="労務費",TRIM(E773)&lt;&gt;""),IFERROR(INDEX('設定'!$G$12:$G$31,MATCH(TRIM(E773),'設定'!$J$12:$J$31,0)),""),""))</f>
        <v/>
      </c>
      <c r="K773" s="30">
        <f>IF(AND(ISNUMBER(F773),ISNUMBER(J773)),ROUND(F773*J773,0),IF(ISNUMBER(I773),I773,""))</f>
        <v/>
      </c>
      <c r="L773" s="33" t="n"/>
      <c r="M773" s="34">
        <f>IF(COUNTA(A773:B773,D773:I773,L773)=0,"",IF(B773="","案件番号がありません",IF(ISNA(MATCH(B773,'案件'!$A$6:$A$105,0)),"案件シートに無い番号です",IF(NOT(OR(D773="材料費",D773="労務費",D773="外注費",D773="経費")),"費目を4つから選んでください",IF(K773="",IF(AND(ISNUMBER(F773),NOT(ISNUMBER(J773))),IF(D773="労務費","単価がありません（設定の作業者名と同じ書き方に）","単価がありません"),IF(AND(ISNUMBER(J773),NOT(ISNUMBER(F773))),"数量がありません","金額がありません")),IF(NOT(ISNUMBER(A773)),"日付がありません（月別集計に入りません）",IF(AND(ISNUMBER(F773),ISNUMBER(J773),ISNUMBER(I773)),"数量×単価を使いました（金額の欄は使っていません）","")))))))</f>
        <v/>
      </c>
      <c r="N773" s="91">
        <f>IF(AND(B773&lt;&gt;"",B773='案件カード'!$C$3),COUNTIF($B$5:B773,'案件カード'!$C$3),"")</f>
        <v/>
      </c>
      <c r="O773" s="91">
        <f>IF(ISNUMBER(K773),IF(B773="",K773,IF(AND(ISNUMBER(MATCH(B773,'案件'!$A$6:$A$105,0)),OR(D773="材料費",D773="労務費",D773="外注費",D773="経費")),0,K773)),0)</f>
        <v/>
      </c>
    </row>
    <row r="774" ht="16" customHeight="1">
      <c r="A774" s="35" t="n"/>
      <c r="B774" s="36" t="n"/>
      <c r="C774" s="37">
        <f>IF(B774="","",IFERROR(INDEX('案件'!$B$6:$B$105,MATCH(B774,'案件'!$A$6:$A$105,0))&amp;"","（案件シートに無い番号）"))</f>
        <v/>
      </c>
      <c r="D774" s="36" t="n"/>
      <c r="E774" s="38" t="n"/>
      <c r="F774" s="39" t="n"/>
      <c r="G774" s="36" t="n"/>
      <c r="H774" s="40" t="n"/>
      <c r="I774" s="40" t="n"/>
      <c r="J774" s="41">
        <f>IF(ISNUMBER(H774),H774,IF(AND(D774="労務費",TRIM(E774)&lt;&gt;""),IFERROR(INDEX('設定'!$G$12:$G$31,MATCH(TRIM(E774),'設定'!$J$12:$J$31,0)),""),""))</f>
        <v/>
      </c>
      <c r="K774" s="30">
        <f>IF(AND(ISNUMBER(F774),ISNUMBER(J774)),ROUND(F774*J774,0),IF(ISNUMBER(I774),I774,""))</f>
        <v/>
      </c>
      <c r="L774" s="33" t="n"/>
      <c r="M774" s="34">
        <f>IF(COUNTA(A774:B774,D774:I774,L774)=0,"",IF(B774="","案件番号がありません",IF(ISNA(MATCH(B774,'案件'!$A$6:$A$105,0)),"案件シートに無い番号です",IF(NOT(OR(D774="材料費",D774="労務費",D774="外注費",D774="経費")),"費目を4つから選んでください",IF(K774="",IF(AND(ISNUMBER(F774),NOT(ISNUMBER(J774))),IF(D774="労務費","単価がありません（設定の作業者名と同じ書き方に）","単価がありません"),IF(AND(ISNUMBER(J774),NOT(ISNUMBER(F774))),"数量がありません","金額がありません")),IF(NOT(ISNUMBER(A774)),"日付がありません（月別集計に入りません）",IF(AND(ISNUMBER(F774),ISNUMBER(J774),ISNUMBER(I774)),"数量×単価を使いました（金額の欄は使っていません）","")))))))</f>
        <v/>
      </c>
      <c r="N774" s="91">
        <f>IF(AND(B774&lt;&gt;"",B774='案件カード'!$C$3),COUNTIF($B$5:B774,'案件カード'!$C$3),"")</f>
        <v/>
      </c>
      <c r="O774" s="91">
        <f>IF(ISNUMBER(K774),IF(B774="",K774,IF(AND(ISNUMBER(MATCH(B774,'案件'!$A$6:$A$105,0)),OR(D774="材料費",D774="労務費",D774="外注費",D774="経費")),0,K774)),0)</f>
        <v/>
      </c>
    </row>
    <row r="775" ht="16" customHeight="1">
      <c r="A775" s="35" t="n"/>
      <c r="B775" s="36" t="n"/>
      <c r="C775" s="37">
        <f>IF(B775="","",IFERROR(INDEX('案件'!$B$6:$B$105,MATCH(B775,'案件'!$A$6:$A$105,0))&amp;"","（案件シートに無い番号）"))</f>
        <v/>
      </c>
      <c r="D775" s="36" t="n"/>
      <c r="E775" s="38" t="n"/>
      <c r="F775" s="39" t="n"/>
      <c r="G775" s="36" t="n"/>
      <c r="H775" s="40" t="n"/>
      <c r="I775" s="40" t="n"/>
      <c r="J775" s="41">
        <f>IF(ISNUMBER(H775),H775,IF(AND(D775="労務費",TRIM(E775)&lt;&gt;""),IFERROR(INDEX('設定'!$G$12:$G$31,MATCH(TRIM(E775),'設定'!$J$12:$J$31,0)),""),""))</f>
        <v/>
      </c>
      <c r="K775" s="30">
        <f>IF(AND(ISNUMBER(F775),ISNUMBER(J775)),ROUND(F775*J775,0),IF(ISNUMBER(I775),I775,""))</f>
        <v/>
      </c>
      <c r="L775" s="33" t="n"/>
      <c r="M775" s="34">
        <f>IF(COUNTA(A775:B775,D775:I775,L775)=0,"",IF(B775="","案件番号がありません",IF(ISNA(MATCH(B775,'案件'!$A$6:$A$105,0)),"案件シートに無い番号です",IF(NOT(OR(D775="材料費",D775="労務費",D775="外注費",D775="経費")),"費目を4つから選んでください",IF(K775="",IF(AND(ISNUMBER(F775),NOT(ISNUMBER(J775))),IF(D775="労務費","単価がありません（設定の作業者名と同じ書き方に）","単価がありません"),IF(AND(ISNUMBER(J775),NOT(ISNUMBER(F775))),"数量がありません","金額がありません")),IF(NOT(ISNUMBER(A775)),"日付がありません（月別集計に入りません）",IF(AND(ISNUMBER(F775),ISNUMBER(J775),ISNUMBER(I775)),"数量×単価を使いました（金額の欄は使っていません）","")))))))</f>
        <v/>
      </c>
      <c r="N775" s="91">
        <f>IF(AND(B775&lt;&gt;"",B775='案件カード'!$C$3),COUNTIF($B$5:B775,'案件カード'!$C$3),"")</f>
        <v/>
      </c>
      <c r="O775" s="91">
        <f>IF(ISNUMBER(K775),IF(B775="",K775,IF(AND(ISNUMBER(MATCH(B775,'案件'!$A$6:$A$105,0)),OR(D775="材料費",D775="労務費",D775="外注費",D775="経費")),0,K775)),0)</f>
        <v/>
      </c>
    </row>
    <row r="776" ht="16" customHeight="1">
      <c r="A776" s="35" t="n"/>
      <c r="B776" s="36" t="n"/>
      <c r="C776" s="37">
        <f>IF(B776="","",IFERROR(INDEX('案件'!$B$6:$B$105,MATCH(B776,'案件'!$A$6:$A$105,0))&amp;"","（案件シートに無い番号）"))</f>
        <v/>
      </c>
      <c r="D776" s="36" t="n"/>
      <c r="E776" s="38" t="n"/>
      <c r="F776" s="39" t="n"/>
      <c r="G776" s="36" t="n"/>
      <c r="H776" s="40" t="n"/>
      <c r="I776" s="40" t="n"/>
      <c r="J776" s="41">
        <f>IF(ISNUMBER(H776),H776,IF(AND(D776="労務費",TRIM(E776)&lt;&gt;""),IFERROR(INDEX('設定'!$G$12:$G$31,MATCH(TRIM(E776),'設定'!$J$12:$J$31,0)),""),""))</f>
        <v/>
      </c>
      <c r="K776" s="30">
        <f>IF(AND(ISNUMBER(F776),ISNUMBER(J776)),ROUND(F776*J776,0),IF(ISNUMBER(I776),I776,""))</f>
        <v/>
      </c>
      <c r="L776" s="33" t="n"/>
      <c r="M776" s="34">
        <f>IF(COUNTA(A776:B776,D776:I776,L776)=0,"",IF(B776="","案件番号がありません",IF(ISNA(MATCH(B776,'案件'!$A$6:$A$105,0)),"案件シートに無い番号です",IF(NOT(OR(D776="材料費",D776="労務費",D776="外注費",D776="経費")),"費目を4つから選んでください",IF(K776="",IF(AND(ISNUMBER(F776),NOT(ISNUMBER(J776))),IF(D776="労務費","単価がありません（設定の作業者名と同じ書き方に）","単価がありません"),IF(AND(ISNUMBER(J776),NOT(ISNUMBER(F776))),"数量がありません","金額がありません")),IF(NOT(ISNUMBER(A776)),"日付がありません（月別集計に入りません）",IF(AND(ISNUMBER(F776),ISNUMBER(J776),ISNUMBER(I776)),"数量×単価を使いました（金額の欄は使っていません）","")))))))</f>
        <v/>
      </c>
      <c r="N776" s="91">
        <f>IF(AND(B776&lt;&gt;"",B776='案件カード'!$C$3),COUNTIF($B$5:B776,'案件カード'!$C$3),"")</f>
        <v/>
      </c>
      <c r="O776" s="91">
        <f>IF(ISNUMBER(K776),IF(B776="",K776,IF(AND(ISNUMBER(MATCH(B776,'案件'!$A$6:$A$105,0)),OR(D776="材料費",D776="労務費",D776="外注費",D776="経費")),0,K776)),0)</f>
        <v/>
      </c>
    </row>
    <row r="777" ht="16" customHeight="1">
      <c r="A777" s="35" t="n"/>
      <c r="B777" s="36" t="n"/>
      <c r="C777" s="37">
        <f>IF(B777="","",IFERROR(INDEX('案件'!$B$6:$B$105,MATCH(B777,'案件'!$A$6:$A$105,0))&amp;"","（案件シートに無い番号）"))</f>
        <v/>
      </c>
      <c r="D777" s="36" t="n"/>
      <c r="E777" s="38" t="n"/>
      <c r="F777" s="39" t="n"/>
      <c r="G777" s="36" t="n"/>
      <c r="H777" s="40" t="n"/>
      <c r="I777" s="40" t="n"/>
      <c r="J777" s="41">
        <f>IF(ISNUMBER(H777),H777,IF(AND(D777="労務費",TRIM(E777)&lt;&gt;""),IFERROR(INDEX('設定'!$G$12:$G$31,MATCH(TRIM(E777),'設定'!$J$12:$J$31,0)),""),""))</f>
        <v/>
      </c>
      <c r="K777" s="30">
        <f>IF(AND(ISNUMBER(F777),ISNUMBER(J777)),ROUND(F777*J777,0),IF(ISNUMBER(I777),I777,""))</f>
        <v/>
      </c>
      <c r="L777" s="33" t="n"/>
      <c r="M777" s="34">
        <f>IF(COUNTA(A777:B777,D777:I777,L777)=0,"",IF(B777="","案件番号がありません",IF(ISNA(MATCH(B777,'案件'!$A$6:$A$105,0)),"案件シートに無い番号です",IF(NOT(OR(D777="材料費",D777="労務費",D777="外注費",D777="経費")),"費目を4つから選んでください",IF(K777="",IF(AND(ISNUMBER(F777),NOT(ISNUMBER(J777))),IF(D777="労務費","単価がありません（設定の作業者名と同じ書き方に）","単価がありません"),IF(AND(ISNUMBER(J777),NOT(ISNUMBER(F777))),"数量がありません","金額がありません")),IF(NOT(ISNUMBER(A777)),"日付がありません（月別集計に入りません）",IF(AND(ISNUMBER(F777),ISNUMBER(J777),ISNUMBER(I777)),"数量×単価を使いました（金額の欄は使っていません）","")))))))</f>
        <v/>
      </c>
      <c r="N777" s="91">
        <f>IF(AND(B777&lt;&gt;"",B777='案件カード'!$C$3),COUNTIF($B$5:B777,'案件カード'!$C$3),"")</f>
        <v/>
      </c>
      <c r="O777" s="91">
        <f>IF(ISNUMBER(K777),IF(B777="",K777,IF(AND(ISNUMBER(MATCH(B777,'案件'!$A$6:$A$105,0)),OR(D777="材料費",D777="労務費",D777="外注費",D777="経費")),0,K777)),0)</f>
        <v/>
      </c>
    </row>
    <row r="778" ht="16" customHeight="1">
      <c r="A778" s="35" t="n"/>
      <c r="B778" s="36" t="n"/>
      <c r="C778" s="37">
        <f>IF(B778="","",IFERROR(INDEX('案件'!$B$6:$B$105,MATCH(B778,'案件'!$A$6:$A$105,0))&amp;"","（案件シートに無い番号）"))</f>
        <v/>
      </c>
      <c r="D778" s="36" t="n"/>
      <c r="E778" s="38" t="n"/>
      <c r="F778" s="39" t="n"/>
      <c r="G778" s="36" t="n"/>
      <c r="H778" s="40" t="n"/>
      <c r="I778" s="40" t="n"/>
      <c r="J778" s="41">
        <f>IF(ISNUMBER(H778),H778,IF(AND(D778="労務費",TRIM(E778)&lt;&gt;""),IFERROR(INDEX('設定'!$G$12:$G$31,MATCH(TRIM(E778),'設定'!$J$12:$J$31,0)),""),""))</f>
        <v/>
      </c>
      <c r="K778" s="30">
        <f>IF(AND(ISNUMBER(F778),ISNUMBER(J778)),ROUND(F778*J778,0),IF(ISNUMBER(I778),I778,""))</f>
        <v/>
      </c>
      <c r="L778" s="33" t="n"/>
      <c r="M778" s="34">
        <f>IF(COUNTA(A778:B778,D778:I778,L778)=0,"",IF(B778="","案件番号がありません",IF(ISNA(MATCH(B778,'案件'!$A$6:$A$105,0)),"案件シートに無い番号です",IF(NOT(OR(D778="材料費",D778="労務費",D778="外注費",D778="経費")),"費目を4つから選んでください",IF(K778="",IF(AND(ISNUMBER(F778),NOT(ISNUMBER(J778))),IF(D778="労務費","単価がありません（設定の作業者名と同じ書き方に）","単価がありません"),IF(AND(ISNUMBER(J778),NOT(ISNUMBER(F778))),"数量がありません","金額がありません")),IF(NOT(ISNUMBER(A778)),"日付がありません（月別集計に入りません）",IF(AND(ISNUMBER(F778),ISNUMBER(J778),ISNUMBER(I778)),"数量×単価を使いました（金額の欄は使っていません）","")))))))</f>
        <v/>
      </c>
      <c r="N778" s="91">
        <f>IF(AND(B778&lt;&gt;"",B778='案件カード'!$C$3),COUNTIF($B$5:B778,'案件カード'!$C$3),"")</f>
        <v/>
      </c>
      <c r="O778" s="91">
        <f>IF(ISNUMBER(K778),IF(B778="",K778,IF(AND(ISNUMBER(MATCH(B778,'案件'!$A$6:$A$105,0)),OR(D778="材料費",D778="労務費",D778="外注費",D778="経費")),0,K778)),0)</f>
        <v/>
      </c>
    </row>
    <row r="779" ht="16" customHeight="1">
      <c r="A779" s="35" t="n"/>
      <c r="B779" s="36" t="n"/>
      <c r="C779" s="37">
        <f>IF(B779="","",IFERROR(INDEX('案件'!$B$6:$B$105,MATCH(B779,'案件'!$A$6:$A$105,0))&amp;"","（案件シートに無い番号）"))</f>
        <v/>
      </c>
      <c r="D779" s="36" t="n"/>
      <c r="E779" s="38" t="n"/>
      <c r="F779" s="39" t="n"/>
      <c r="G779" s="36" t="n"/>
      <c r="H779" s="40" t="n"/>
      <c r="I779" s="40" t="n"/>
      <c r="J779" s="41">
        <f>IF(ISNUMBER(H779),H779,IF(AND(D779="労務費",TRIM(E779)&lt;&gt;""),IFERROR(INDEX('設定'!$G$12:$G$31,MATCH(TRIM(E779),'設定'!$J$12:$J$31,0)),""),""))</f>
        <v/>
      </c>
      <c r="K779" s="30">
        <f>IF(AND(ISNUMBER(F779),ISNUMBER(J779)),ROUND(F779*J779,0),IF(ISNUMBER(I779),I779,""))</f>
        <v/>
      </c>
      <c r="L779" s="33" t="n"/>
      <c r="M779" s="34">
        <f>IF(COUNTA(A779:B779,D779:I779,L779)=0,"",IF(B779="","案件番号がありません",IF(ISNA(MATCH(B779,'案件'!$A$6:$A$105,0)),"案件シートに無い番号です",IF(NOT(OR(D779="材料費",D779="労務費",D779="外注費",D779="経費")),"費目を4つから選んでください",IF(K779="",IF(AND(ISNUMBER(F779),NOT(ISNUMBER(J779))),IF(D779="労務費","単価がありません（設定の作業者名と同じ書き方に）","単価がありません"),IF(AND(ISNUMBER(J779),NOT(ISNUMBER(F779))),"数量がありません","金額がありません")),IF(NOT(ISNUMBER(A779)),"日付がありません（月別集計に入りません）",IF(AND(ISNUMBER(F779),ISNUMBER(J779),ISNUMBER(I779)),"数量×単価を使いました（金額の欄は使っていません）","")))))))</f>
        <v/>
      </c>
      <c r="N779" s="91">
        <f>IF(AND(B779&lt;&gt;"",B779='案件カード'!$C$3),COUNTIF($B$5:B779,'案件カード'!$C$3),"")</f>
        <v/>
      </c>
      <c r="O779" s="91">
        <f>IF(ISNUMBER(K779),IF(B779="",K779,IF(AND(ISNUMBER(MATCH(B779,'案件'!$A$6:$A$105,0)),OR(D779="材料費",D779="労務費",D779="外注費",D779="経費")),0,K779)),0)</f>
        <v/>
      </c>
    </row>
    <row r="780" ht="16" customHeight="1">
      <c r="A780" s="35" t="n"/>
      <c r="B780" s="36" t="n"/>
      <c r="C780" s="37">
        <f>IF(B780="","",IFERROR(INDEX('案件'!$B$6:$B$105,MATCH(B780,'案件'!$A$6:$A$105,0))&amp;"","（案件シートに無い番号）"))</f>
        <v/>
      </c>
      <c r="D780" s="36" t="n"/>
      <c r="E780" s="38" t="n"/>
      <c r="F780" s="39" t="n"/>
      <c r="G780" s="36" t="n"/>
      <c r="H780" s="40" t="n"/>
      <c r="I780" s="40" t="n"/>
      <c r="J780" s="41">
        <f>IF(ISNUMBER(H780),H780,IF(AND(D780="労務費",TRIM(E780)&lt;&gt;""),IFERROR(INDEX('設定'!$G$12:$G$31,MATCH(TRIM(E780),'設定'!$J$12:$J$31,0)),""),""))</f>
        <v/>
      </c>
      <c r="K780" s="30">
        <f>IF(AND(ISNUMBER(F780),ISNUMBER(J780)),ROUND(F780*J780,0),IF(ISNUMBER(I780),I780,""))</f>
        <v/>
      </c>
      <c r="L780" s="33" t="n"/>
      <c r="M780" s="34">
        <f>IF(COUNTA(A780:B780,D780:I780,L780)=0,"",IF(B780="","案件番号がありません",IF(ISNA(MATCH(B780,'案件'!$A$6:$A$105,0)),"案件シートに無い番号です",IF(NOT(OR(D780="材料費",D780="労務費",D780="外注費",D780="経費")),"費目を4つから選んでください",IF(K780="",IF(AND(ISNUMBER(F780),NOT(ISNUMBER(J780))),IF(D780="労務費","単価がありません（設定の作業者名と同じ書き方に）","単価がありません"),IF(AND(ISNUMBER(J780),NOT(ISNUMBER(F780))),"数量がありません","金額がありません")),IF(NOT(ISNUMBER(A780)),"日付がありません（月別集計に入りません）",IF(AND(ISNUMBER(F780),ISNUMBER(J780),ISNUMBER(I780)),"数量×単価を使いました（金額の欄は使っていません）","")))))))</f>
        <v/>
      </c>
      <c r="N780" s="91">
        <f>IF(AND(B780&lt;&gt;"",B780='案件カード'!$C$3),COUNTIF($B$5:B780,'案件カード'!$C$3),"")</f>
        <v/>
      </c>
      <c r="O780" s="91">
        <f>IF(ISNUMBER(K780),IF(B780="",K780,IF(AND(ISNUMBER(MATCH(B780,'案件'!$A$6:$A$105,0)),OR(D780="材料費",D780="労務費",D780="外注費",D780="経費")),0,K780)),0)</f>
        <v/>
      </c>
    </row>
    <row r="781" ht="16" customHeight="1">
      <c r="A781" s="35" t="n"/>
      <c r="B781" s="36" t="n"/>
      <c r="C781" s="37">
        <f>IF(B781="","",IFERROR(INDEX('案件'!$B$6:$B$105,MATCH(B781,'案件'!$A$6:$A$105,0))&amp;"","（案件シートに無い番号）"))</f>
        <v/>
      </c>
      <c r="D781" s="36" t="n"/>
      <c r="E781" s="38" t="n"/>
      <c r="F781" s="39" t="n"/>
      <c r="G781" s="36" t="n"/>
      <c r="H781" s="40" t="n"/>
      <c r="I781" s="40" t="n"/>
      <c r="J781" s="41">
        <f>IF(ISNUMBER(H781),H781,IF(AND(D781="労務費",TRIM(E781)&lt;&gt;""),IFERROR(INDEX('設定'!$G$12:$G$31,MATCH(TRIM(E781),'設定'!$J$12:$J$31,0)),""),""))</f>
        <v/>
      </c>
      <c r="K781" s="30">
        <f>IF(AND(ISNUMBER(F781),ISNUMBER(J781)),ROUND(F781*J781,0),IF(ISNUMBER(I781),I781,""))</f>
        <v/>
      </c>
      <c r="L781" s="33" t="n"/>
      <c r="M781" s="34">
        <f>IF(COUNTA(A781:B781,D781:I781,L781)=0,"",IF(B781="","案件番号がありません",IF(ISNA(MATCH(B781,'案件'!$A$6:$A$105,0)),"案件シートに無い番号です",IF(NOT(OR(D781="材料費",D781="労務費",D781="外注費",D781="経費")),"費目を4つから選んでください",IF(K781="",IF(AND(ISNUMBER(F781),NOT(ISNUMBER(J781))),IF(D781="労務費","単価がありません（設定の作業者名と同じ書き方に）","単価がありません"),IF(AND(ISNUMBER(J781),NOT(ISNUMBER(F781))),"数量がありません","金額がありません")),IF(NOT(ISNUMBER(A781)),"日付がありません（月別集計に入りません）",IF(AND(ISNUMBER(F781),ISNUMBER(J781),ISNUMBER(I781)),"数量×単価を使いました（金額の欄は使っていません）","")))))))</f>
        <v/>
      </c>
      <c r="N781" s="91">
        <f>IF(AND(B781&lt;&gt;"",B781='案件カード'!$C$3),COUNTIF($B$5:B781,'案件カード'!$C$3),"")</f>
        <v/>
      </c>
      <c r="O781" s="91">
        <f>IF(ISNUMBER(K781),IF(B781="",K781,IF(AND(ISNUMBER(MATCH(B781,'案件'!$A$6:$A$105,0)),OR(D781="材料費",D781="労務費",D781="外注費",D781="経費")),0,K781)),0)</f>
        <v/>
      </c>
    </row>
    <row r="782" ht="16" customHeight="1">
      <c r="A782" s="35" t="n"/>
      <c r="B782" s="36" t="n"/>
      <c r="C782" s="37">
        <f>IF(B782="","",IFERROR(INDEX('案件'!$B$6:$B$105,MATCH(B782,'案件'!$A$6:$A$105,0))&amp;"","（案件シートに無い番号）"))</f>
        <v/>
      </c>
      <c r="D782" s="36" t="n"/>
      <c r="E782" s="38" t="n"/>
      <c r="F782" s="39" t="n"/>
      <c r="G782" s="36" t="n"/>
      <c r="H782" s="40" t="n"/>
      <c r="I782" s="40" t="n"/>
      <c r="J782" s="41">
        <f>IF(ISNUMBER(H782),H782,IF(AND(D782="労務費",TRIM(E782)&lt;&gt;""),IFERROR(INDEX('設定'!$G$12:$G$31,MATCH(TRIM(E782),'設定'!$J$12:$J$31,0)),""),""))</f>
        <v/>
      </c>
      <c r="K782" s="30">
        <f>IF(AND(ISNUMBER(F782),ISNUMBER(J782)),ROUND(F782*J782,0),IF(ISNUMBER(I782),I782,""))</f>
        <v/>
      </c>
      <c r="L782" s="33" t="n"/>
      <c r="M782" s="34">
        <f>IF(COUNTA(A782:B782,D782:I782,L782)=0,"",IF(B782="","案件番号がありません",IF(ISNA(MATCH(B782,'案件'!$A$6:$A$105,0)),"案件シートに無い番号です",IF(NOT(OR(D782="材料費",D782="労務費",D782="外注費",D782="経費")),"費目を4つから選んでください",IF(K782="",IF(AND(ISNUMBER(F782),NOT(ISNUMBER(J782))),IF(D782="労務費","単価がありません（設定の作業者名と同じ書き方に）","単価がありません"),IF(AND(ISNUMBER(J782),NOT(ISNUMBER(F782))),"数量がありません","金額がありません")),IF(NOT(ISNUMBER(A782)),"日付がありません（月別集計に入りません）",IF(AND(ISNUMBER(F782),ISNUMBER(J782),ISNUMBER(I782)),"数量×単価を使いました（金額の欄は使っていません）","")))))))</f>
        <v/>
      </c>
      <c r="N782" s="91">
        <f>IF(AND(B782&lt;&gt;"",B782='案件カード'!$C$3),COUNTIF($B$5:B782,'案件カード'!$C$3),"")</f>
        <v/>
      </c>
      <c r="O782" s="91">
        <f>IF(ISNUMBER(K782),IF(B782="",K782,IF(AND(ISNUMBER(MATCH(B782,'案件'!$A$6:$A$105,0)),OR(D782="材料費",D782="労務費",D782="外注費",D782="経費")),0,K782)),0)</f>
        <v/>
      </c>
    </row>
    <row r="783" ht="16" customHeight="1">
      <c r="A783" s="35" t="n"/>
      <c r="B783" s="36" t="n"/>
      <c r="C783" s="37">
        <f>IF(B783="","",IFERROR(INDEX('案件'!$B$6:$B$105,MATCH(B783,'案件'!$A$6:$A$105,0))&amp;"","（案件シートに無い番号）"))</f>
        <v/>
      </c>
      <c r="D783" s="36" t="n"/>
      <c r="E783" s="38" t="n"/>
      <c r="F783" s="39" t="n"/>
      <c r="G783" s="36" t="n"/>
      <c r="H783" s="40" t="n"/>
      <c r="I783" s="40" t="n"/>
      <c r="J783" s="41">
        <f>IF(ISNUMBER(H783),H783,IF(AND(D783="労務費",TRIM(E783)&lt;&gt;""),IFERROR(INDEX('設定'!$G$12:$G$31,MATCH(TRIM(E783),'設定'!$J$12:$J$31,0)),""),""))</f>
        <v/>
      </c>
      <c r="K783" s="30">
        <f>IF(AND(ISNUMBER(F783),ISNUMBER(J783)),ROUND(F783*J783,0),IF(ISNUMBER(I783),I783,""))</f>
        <v/>
      </c>
      <c r="L783" s="33" t="n"/>
      <c r="M783" s="34">
        <f>IF(COUNTA(A783:B783,D783:I783,L783)=0,"",IF(B783="","案件番号がありません",IF(ISNA(MATCH(B783,'案件'!$A$6:$A$105,0)),"案件シートに無い番号です",IF(NOT(OR(D783="材料費",D783="労務費",D783="外注費",D783="経費")),"費目を4つから選んでください",IF(K783="",IF(AND(ISNUMBER(F783),NOT(ISNUMBER(J783))),IF(D783="労務費","単価がありません（設定の作業者名と同じ書き方に）","単価がありません"),IF(AND(ISNUMBER(J783),NOT(ISNUMBER(F783))),"数量がありません","金額がありません")),IF(NOT(ISNUMBER(A783)),"日付がありません（月別集計に入りません）",IF(AND(ISNUMBER(F783),ISNUMBER(J783),ISNUMBER(I783)),"数量×単価を使いました（金額の欄は使っていません）","")))))))</f>
        <v/>
      </c>
      <c r="N783" s="91">
        <f>IF(AND(B783&lt;&gt;"",B783='案件カード'!$C$3),COUNTIF($B$5:B783,'案件カード'!$C$3),"")</f>
        <v/>
      </c>
      <c r="O783" s="91">
        <f>IF(ISNUMBER(K783),IF(B783="",K783,IF(AND(ISNUMBER(MATCH(B783,'案件'!$A$6:$A$105,0)),OR(D783="材料費",D783="労務費",D783="外注費",D783="経費")),0,K783)),0)</f>
        <v/>
      </c>
    </row>
    <row r="784" ht="16" customHeight="1">
      <c r="A784" s="35" t="n"/>
      <c r="B784" s="36" t="n"/>
      <c r="C784" s="37">
        <f>IF(B784="","",IFERROR(INDEX('案件'!$B$6:$B$105,MATCH(B784,'案件'!$A$6:$A$105,0))&amp;"","（案件シートに無い番号）"))</f>
        <v/>
      </c>
      <c r="D784" s="36" t="n"/>
      <c r="E784" s="38" t="n"/>
      <c r="F784" s="39" t="n"/>
      <c r="G784" s="36" t="n"/>
      <c r="H784" s="40" t="n"/>
      <c r="I784" s="40" t="n"/>
      <c r="J784" s="41">
        <f>IF(ISNUMBER(H784),H784,IF(AND(D784="労務費",TRIM(E784)&lt;&gt;""),IFERROR(INDEX('設定'!$G$12:$G$31,MATCH(TRIM(E784),'設定'!$J$12:$J$31,0)),""),""))</f>
        <v/>
      </c>
      <c r="K784" s="30">
        <f>IF(AND(ISNUMBER(F784),ISNUMBER(J784)),ROUND(F784*J784,0),IF(ISNUMBER(I784),I784,""))</f>
        <v/>
      </c>
      <c r="L784" s="33" t="n"/>
      <c r="M784" s="34">
        <f>IF(COUNTA(A784:B784,D784:I784,L784)=0,"",IF(B784="","案件番号がありません",IF(ISNA(MATCH(B784,'案件'!$A$6:$A$105,0)),"案件シートに無い番号です",IF(NOT(OR(D784="材料費",D784="労務費",D784="外注費",D784="経費")),"費目を4つから選んでください",IF(K784="",IF(AND(ISNUMBER(F784),NOT(ISNUMBER(J784))),IF(D784="労務費","単価がありません（設定の作業者名と同じ書き方に）","単価がありません"),IF(AND(ISNUMBER(J784),NOT(ISNUMBER(F784))),"数量がありません","金額がありません")),IF(NOT(ISNUMBER(A784)),"日付がありません（月別集計に入りません）",IF(AND(ISNUMBER(F784),ISNUMBER(J784),ISNUMBER(I784)),"数量×単価を使いました（金額の欄は使っていません）","")))))))</f>
        <v/>
      </c>
      <c r="N784" s="91">
        <f>IF(AND(B784&lt;&gt;"",B784='案件カード'!$C$3),COUNTIF($B$5:B784,'案件カード'!$C$3),"")</f>
        <v/>
      </c>
      <c r="O784" s="91">
        <f>IF(ISNUMBER(K784),IF(B784="",K784,IF(AND(ISNUMBER(MATCH(B784,'案件'!$A$6:$A$105,0)),OR(D784="材料費",D784="労務費",D784="外注費",D784="経費")),0,K784)),0)</f>
        <v/>
      </c>
    </row>
    <row r="785" ht="16" customHeight="1">
      <c r="A785" s="35" t="n"/>
      <c r="B785" s="36" t="n"/>
      <c r="C785" s="37">
        <f>IF(B785="","",IFERROR(INDEX('案件'!$B$6:$B$105,MATCH(B785,'案件'!$A$6:$A$105,0))&amp;"","（案件シートに無い番号）"))</f>
        <v/>
      </c>
      <c r="D785" s="36" t="n"/>
      <c r="E785" s="38" t="n"/>
      <c r="F785" s="39" t="n"/>
      <c r="G785" s="36" t="n"/>
      <c r="H785" s="40" t="n"/>
      <c r="I785" s="40" t="n"/>
      <c r="J785" s="41">
        <f>IF(ISNUMBER(H785),H785,IF(AND(D785="労務費",TRIM(E785)&lt;&gt;""),IFERROR(INDEX('設定'!$G$12:$G$31,MATCH(TRIM(E785),'設定'!$J$12:$J$31,0)),""),""))</f>
        <v/>
      </c>
      <c r="K785" s="30">
        <f>IF(AND(ISNUMBER(F785),ISNUMBER(J785)),ROUND(F785*J785,0),IF(ISNUMBER(I785),I785,""))</f>
        <v/>
      </c>
      <c r="L785" s="33" t="n"/>
      <c r="M785" s="34">
        <f>IF(COUNTA(A785:B785,D785:I785,L785)=0,"",IF(B785="","案件番号がありません",IF(ISNA(MATCH(B785,'案件'!$A$6:$A$105,0)),"案件シートに無い番号です",IF(NOT(OR(D785="材料費",D785="労務費",D785="外注費",D785="経費")),"費目を4つから選んでください",IF(K785="",IF(AND(ISNUMBER(F785),NOT(ISNUMBER(J785))),IF(D785="労務費","単価がありません（設定の作業者名と同じ書き方に）","単価がありません"),IF(AND(ISNUMBER(J785),NOT(ISNUMBER(F785))),"数量がありません","金額がありません")),IF(NOT(ISNUMBER(A785)),"日付がありません（月別集計に入りません）",IF(AND(ISNUMBER(F785),ISNUMBER(J785),ISNUMBER(I785)),"数量×単価を使いました（金額の欄は使っていません）","")))))))</f>
        <v/>
      </c>
      <c r="N785" s="91">
        <f>IF(AND(B785&lt;&gt;"",B785='案件カード'!$C$3),COUNTIF($B$5:B785,'案件カード'!$C$3),"")</f>
        <v/>
      </c>
      <c r="O785" s="91">
        <f>IF(ISNUMBER(K785),IF(B785="",K785,IF(AND(ISNUMBER(MATCH(B785,'案件'!$A$6:$A$105,0)),OR(D785="材料費",D785="労務費",D785="外注費",D785="経費")),0,K785)),0)</f>
        <v/>
      </c>
    </row>
    <row r="786" ht="16" customHeight="1">
      <c r="A786" s="35" t="n"/>
      <c r="B786" s="36" t="n"/>
      <c r="C786" s="37">
        <f>IF(B786="","",IFERROR(INDEX('案件'!$B$6:$B$105,MATCH(B786,'案件'!$A$6:$A$105,0))&amp;"","（案件シートに無い番号）"))</f>
        <v/>
      </c>
      <c r="D786" s="36" t="n"/>
      <c r="E786" s="38" t="n"/>
      <c r="F786" s="39" t="n"/>
      <c r="G786" s="36" t="n"/>
      <c r="H786" s="40" t="n"/>
      <c r="I786" s="40" t="n"/>
      <c r="J786" s="41">
        <f>IF(ISNUMBER(H786),H786,IF(AND(D786="労務費",TRIM(E786)&lt;&gt;""),IFERROR(INDEX('設定'!$G$12:$G$31,MATCH(TRIM(E786),'設定'!$J$12:$J$31,0)),""),""))</f>
        <v/>
      </c>
      <c r="K786" s="30">
        <f>IF(AND(ISNUMBER(F786),ISNUMBER(J786)),ROUND(F786*J786,0),IF(ISNUMBER(I786),I786,""))</f>
        <v/>
      </c>
      <c r="L786" s="33" t="n"/>
      <c r="M786" s="34">
        <f>IF(COUNTA(A786:B786,D786:I786,L786)=0,"",IF(B786="","案件番号がありません",IF(ISNA(MATCH(B786,'案件'!$A$6:$A$105,0)),"案件シートに無い番号です",IF(NOT(OR(D786="材料費",D786="労務費",D786="外注費",D786="経費")),"費目を4つから選んでください",IF(K786="",IF(AND(ISNUMBER(F786),NOT(ISNUMBER(J786))),IF(D786="労務費","単価がありません（設定の作業者名と同じ書き方に）","単価がありません"),IF(AND(ISNUMBER(J786),NOT(ISNUMBER(F786))),"数量がありません","金額がありません")),IF(NOT(ISNUMBER(A786)),"日付がありません（月別集計に入りません）",IF(AND(ISNUMBER(F786),ISNUMBER(J786),ISNUMBER(I786)),"数量×単価を使いました（金額の欄は使っていません）","")))))))</f>
        <v/>
      </c>
      <c r="N786" s="91">
        <f>IF(AND(B786&lt;&gt;"",B786='案件カード'!$C$3),COUNTIF($B$5:B786,'案件カード'!$C$3),"")</f>
        <v/>
      </c>
      <c r="O786" s="91">
        <f>IF(ISNUMBER(K786),IF(B786="",K786,IF(AND(ISNUMBER(MATCH(B786,'案件'!$A$6:$A$105,0)),OR(D786="材料費",D786="労務費",D786="外注費",D786="経費")),0,K786)),0)</f>
        <v/>
      </c>
    </row>
    <row r="787" ht="16" customHeight="1">
      <c r="A787" s="35" t="n"/>
      <c r="B787" s="36" t="n"/>
      <c r="C787" s="37">
        <f>IF(B787="","",IFERROR(INDEX('案件'!$B$6:$B$105,MATCH(B787,'案件'!$A$6:$A$105,0))&amp;"","（案件シートに無い番号）"))</f>
        <v/>
      </c>
      <c r="D787" s="36" t="n"/>
      <c r="E787" s="38" t="n"/>
      <c r="F787" s="39" t="n"/>
      <c r="G787" s="36" t="n"/>
      <c r="H787" s="40" t="n"/>
      <c r="I787" s="40" t="n"/>
      <c r="J787" s="41">
        <f>IF(ISNUMBER(H787),H787,IF(AND(D787="労務費",TRIM(E787)&lt;&gt;""),IFERROR(INDEX('設定'!$G$12:$G$31,MATCH(TRIM(E787),'設定'!$J$12:$J$31,0)),""),""))</f>
        <v/>
      </c>
      <c r="K787" s="30">
        <f>IF(AND(ISNUMBER(F787),ISNUMBER(J787)),ROUND(F787*J787,0),IF(ISNUMBER(I787),I787,""))</f>
        <v/>
      </c>
      <c r="L787" s="33" t="n"/>
      <c r="M787" s="34">
        <f>IF(COUNTA(A787:B787,D787:I787,L787)=0,"",IF(B787="","案件番号がありません",IF(ISNA(MATCH(B787,'案件'!$A$6:$A$105,0)),"案件シートに無い番号です",IF(NOT(OR(D787="材料費",D787="労務費",D787="外注費",D787="経費")),"費目を4つから選んでください",IF(K787="",IF(AND(ISNUMBER(F787),NOT(ISNUMBER(J787))),IF(D787="労務費","単価がありません（設定の作業者名と同じ書き方に）","単価がありません"),IF(AND(ISNUMBER(J787),NOT(ISNUMBER(F787))),"数量がありません","金額がありません")),IF(NOT(ISNUMBER(A787)),"日付がありません（月別集計に入りません）",IF(AND(ISNUMBER(F787),ISNUMBER(J787),ISNUMBER(I787)),"数量×単価を使いました（金額の欄は使っていません）","")))))))</f>
        <v/>
      </c>
      <c r="N787" s="91">
        <f>IF(AND(B787&lt;&gt;"",B787='案件カード'!$C$3),COUNTIF($B$5:B787,'案件カード'!$C$3),"")</f>
        <v/>
      </c>
      <c r="O787" s="91">
        <f>IF(ISNUMBER(K787),IF(B787="",K787,IF(AND(ISNUMBER(MATCH(B787,'案件'!$A$6:$A$105,0)),OR(D787="材料費",D787="労務費",D787="外注費",D787="経費")),0,K787)),0)</f>
        <v/>
      </c>
    </row>
    <row r="788" ht="16" customHeight="1">
      <c r="A788" s="35" t="n"/>
      <c r="B788" s="36" t="n"/>
      <c r="C788" s="37">
        <f>IF(B788="","",IFERROR(INDEX('案件'!$B$6:$B$105,MATCH(B788,'案件'!$A$6:$A$105,0))&amp;"","（案件シートに無い番号）"))</f>
        <v/>
      </c>
      <c r="D788" s="36" t="n"/>
      <c r="E788" s="38" t="n"/>
      <c r="F788" s="39" t="n"/>
      <c r="G788" s="36" t="n"/>
      <c r="H788" s="40" t="n"/>
      <c r="I788" s="40" t="n"/>
      <c r="J788" s="41">
        <f>IF(ISNUMBER(H788),H788,IF(AND(D788="労務費",TRIM(E788)&lt;&gt;""),IFERROR(INDEX('設定'!$G$12:$G$31,MATCH(TRIM(E788),'設定'!$J$12:$J$31,0)),""),""))</f>
        <v/>
      </c>
      <c r="K788" s="30">
        <f>IF(AND(ISNUMBER(F788),ISNUMBER(J788)),ROUND(F788*J788,0),IF(ISNUMBER(I788),I788,""))</f>
        <v/>
      </c>
      <c r="L788" s="33" t="n"/>
      <c r="M788" s="34">
        <f>IF(COUNTA(A788:B788,D788:I788,L788)=0,"",IF(B788="","案件番号がありません",IF(ISNA(MATCH(B788,'案件'!$A$6:$A$105,0)),"案件シートに無い番号です",IF(NOT(OR(D788="材料費",D788="労務費",D788="外注費",D788="経費")),"費目を4つから選んでください",IF(K788="",IF(AND(ISNUMBER(F788),NOT(ISNUMBER(J788))),IF(D788="労務費","単価がありません（設定の作業者名と同じ書き方に）","単価がありません"),IF(AND(ISNUMBER(J788),NOT(ISNUMBER(F788))),"数量がありません","金額がありません")),IF(NOT(ISNUMBER(A788)),"日付がありません（月別集計に入りません）",IF(AND(ISNUMBER(F788),ISNUMBER(J788),ISNUMBER(I788)),"数量×単価を使いました（金額の欄は使っていません）","")))))))</f>
        <v/>
      </c>
      <c r="N788" s="91">
        <f>IF(AND(B788&lt;&gt;"",B788='案件カード'!$C$3),COUNTIF($B$5:B788,'案件カード'!$C$3),"")</f>
        <v/>
      </c>
      <c r="O788" s="91">
        <f>IF(ISNUMBER(K788),IF(B788="",K788,IF(AND(ISNUMBER(MATCH(B788,'案件'!$A$6:$A$105,0)),OR(D788="材料費",D788="労務費",D788="外注費",D788="経費")),0,K788)),0)</f>
        <v/>
      </c>
    </row>
    <row r="789" ht="16" customHeight="1">
      <c r="A789" s="35" t="n"/>
      <c r="B789" s="36" t="n"/>
      <c r="C789" s="37">
        <f>IF(B789="","",IFERROR(INDEX('案件'!$B$6:$B$105,MATCH(B789,'案件'!$A$6:$A$105,0))&amp;"","（案件シートに無い番号）"))</f>
        <v/>
      </c>
      <c r="D789" s="36" t="n"/>
      <c r="E789" s="38" t="n"/>
      <c r="F789" s="39" t="n"/>
      <c r="G789" s="36" t="n"/>
      <c r="H789" s="40" t="n"/>
      <c r="I789" s="40" t="n"/>
      <c r="J789" s="41">
        <f>IF(ISNUMBER(H789),H789,IF(AND(D789="労務費",TRIM(E789)&lt;&gt;""),IFERROR(INDEX('設定'!$G$12:$G$31,MATCH(TRIM(E789),'設定'!$J$12:$J$31,0)),""),""))</f>
        <v/>
      </c>
      <c r="K789" s="30">
        <f>IF(AND(ISNUMBER(F789),ISNUMBER(J789)),ROUND(F789*J789,0),IF(ISNUMBER(I789),I789,""))</f>
        <v/>
      </c>
      <c r="L789" s="33" t="n"/>
      <c r="M789" s="34">
        <f>IF(COUNTA(A789:B789,D789:I789,L789)=0,"",IF(B789="","案件番号がありません",IF(ISNA(MATCH(B789,'案件'!$A$6:$A$105,0)),"案件シートに無い番号です",IF(NOT(OR(D789="材料費",D789="労務費",D789="外注費",D789="経費")),"費目を4つから選んでください",IF(K789="",IF(AND(ISNUMBER(F789),NOT(ISNUMBER(J789))),IF(D789="労務費","単価がありません（設定の作業者名と同じ書き方に）","単価がありません"),IF(AND(ISNUMBER(J789),NOT(ISNUMBER(F789))),"数量がありません","金額がありません")),IF(NOT(ISNUMBER(A789)),"日付がありません（月別集計に入りません）",IF(AND(ISNUMBER(F789),ISNUMBER(J789),ISNUMBER(I789)),"数量×単価を使いました（金額の欄は使っていません）","")))))))</f>
        <v/>
      </c>
      <c r="N789" s="91">
        <f>IF(AND(B789&lt;&gt;"",B789='案件カード'!$C$3),COUNTIF($B$5:B789,'案件カード'!$C$3),"")</f>
        <v/>
      </c>
      <c r="O789" s="91">
        <f>IF(ISNUMBER(K789),IF(B789="",K789,IF(AND(ISNUMBER(MATCH(B789,'案件'!$A$6:$A$105,0)),OR(D789="材料費",D789="労務費",D789="外注費",D789="経費")),0,K789)),0)</f>
        <v/>
      </c>
    </row>
    <row r="790" ht="16" customHeight="1">
      <c r="A790" s="35" t="n"/>
      <c r="B790" s="36" t="n"/>
      <c r="C790" s="37">
        <f>IF(B790="","",IFERROR(INDEX('案件'!$B$6:$B$105,MATCH(B790,'案件'!$A$6:$A$105,0))&amp;"","（案件シートに無い番号）"))</f>
        <v/>
      </c>
      <c r="D790" s="36" t="n"/>
      <c r="E790" s="38" t="n"/>
      <c r="F790" s="39" t="n"/>
      <c r="G790" s="36" t="n"/>
      <c r="H790" s="40" t="n"/>
      <c r="I790" s="40" t="n"/>
      <c r="J790" s="41">
        <f>IF(ISNUMBER(H790),H790,IF(AND(D790="労務費",TRIM(E790)&lt;&gt;""),IFERROR(INDEX('設定'!$G$12:$G$31,MATCH(TRIM(E790),'設定'!$J$12:$J$31,0)),""),""))</f>
        <v/>
      </c>
      <c r="K790" s="30">
        <f>IF(AND(ISNUMBER(F790),ISNUMBER(J790)),ROUND(F790*J790,0),IF(ISNUMBER(I790),I790,""))</f>
        <v/>
      </c>
      <c r="L790" s="33" t="n"/>
      <c r="M790" s="34">
        <f>IF(COUNTA(A790:B790,D790:I790,L790)=0,"",IF(B790="","案件番号がありません",IF(ISNA(MATCH(B790,'案件'!$A$6:$A$105,0)),"案件シートに無い番号です",IF(NOT(OR(D790="材料費",D790="労務費",D790="外注費",D790="経費")),"費目を4つから選んでください",IF(K790="",IF(AND(ISNUMBER(F790),NOT(ISNUMBER(J790))),IF(D790="労務費","単価がありません（設定の作業者名と同じ書き方に）","単価がありません"),IF(AND(ISNUMBER(J790),NOT(ISNUMBER(F790))),"数量がありません","金額がありません")),IF(NOT(ISNUMBER(A790)),"日付がありません（月別集計に入りません）",IF(AND(ISNUMBER(F790),ISNUMBER(J790),ISNUMBER(I790)),"数量×単価を使いました（金額の欄は使っていません）","")))))))</f>
        <v/>
      </c>
      <c r="N790" s="91">
        <f>IF(AND(B790&lt;&gt;"",B790='案件カード'!$C$3),COUNTIF($B$5:B790,'案件カード'!$C$3),"")</f>
        <v/>
      </c>
      <c r="O790" s="91">
        <f>IF(ISNUMBER(K790),IF(B790="",K790,IF(AND(ISNUMBER(MATCH(B790,'案件'!$A$6:$A$105,0)),OR(D790="材料費",D790="労務費",D790="外注費",D790="経費")),0,K790)),0)</f>
        <v/>
      </c>
    </row>
    <row r="791" ht="16" customHeight="1">
      <c r="A791" s="35" t="n"/>
      <c r="B791" s="36" t="n"/>
      <c r="C791" s="37">
        <f>IF(B791="","",IFERROR(INDEX('案件'!$B$6:$B$105,MATCH(B791,'案件'!$A$6:$A$105,0))&amp;"","（案件シートに無い番号）"))</f>
        <v/>
      </c>
      <c r="D791" s="36" t="n"/>
      <c r="E791" s="38" t="n"/>
      <c r="F791" s="39" t="n"/>
      <c r="G791" s="36" t="n"/>
      <c r="H791" s="40" t="n"/>
      <c r="I791" s="40" t="n"/>
      <c r="J791" s="41">
        <f>IF(ISNUMBER(H791),H791,IF(AND(D791="労務費",TRIM(E791)&lt;&gt;""),IFERROR(INDEX('設定'!$G$12:$G$31,MATCH(TRIM(E791),'設定'!$J$12:$J$31,0)),""),""))</f>
        <v/>
      </c>
      <c r="K791" s="30">
        <f>IF(AND(ISNUMBER(F791),ISNUMBER(J791)),ROUND(F791*J791,0),IF(ISNUMBER(I791),I791,""))</f>
        <v/>
      </c>
      <c r="L791" s="33" t="n"/>
      <c r="M791" s="34">
        <f>IF(COUNTA(A791:B791,D791:I791,L791)=0,"",IF(B791="","案件番号がありません",IF(ISNA(MATCH(B791,'案件'!$A$6:$A$105,0)),"案件シートに無い番号です",IF(NOT(OR(D791="材料費",D791="労務費",D791="外注費",D791="経費")),"費目を4つから選んでください",IF(K791="",IF(AND(ISNUMBER(F791),NOT(ISNUMBER(J791))),IF(D791="労務費","単価がありません（設定の作業者名と同じ書き方に）","単価がありません"),IF(AND(ISNUMBER(J791),NOT(ISNUMBER(F791))),"数量がありません","金額がありません")),IF(NOT(ISNUMBER(A791)),"日付がありません（月別集計に入りません）",IF(AND(ISNUMBER(F791),ISNUMBER(J791),ISNUMBER(I791)),"数量×単価を使いました（金額の欄は使っていません）","")))))))</f>
        <v/>
      </c>
      <c r="N791" s="91">
        <f>IF(AND(B791&lt;&gt;"",B791='案件カード'!$C$3),COUNTIF($B$5:B791,'案件カード'!$C$3),"")</f>
        <v/>
      </c>
      <c r="O791" s="91">
        <f>IF(ISNUMBER(K791),IF(B791="",K791,IF(AND(ISNUMBER(MATCH(B791,'案件'!$A$6:$A$105,0)),OR(D791="材料費",D791="労務費",D791="外注費",D791="経費")),0,K791)),0)</f>
        <v/>
      </c>
    </row>
    <row r="792" ht="16" customHeight="1">
      <c r="A792" s="35" t="n"/>
      <c r="B792" s="36" t="n"/>
      <c r="C792" s="37">
        <f>IF(B792="","",IFERROR(INDEX('案件'!$B$6:$B$105,MATCH(B792,'案件'!$A$6:$A$105,0))&amp;"","（案件シートに無い番号）"))</f>
        <v/>
      </c>
      <c r="D792" s="36" t="n"/>
      <c r="E792" s="38" t="n"/>
      <c r="F792" s="39" t="n"/>
      <c r="G792" s="36" t="n"/>
      <c r="H792" s="40" t="n"/>
      <c r="I792" s="40" t="n"/>
      <c r="J792" s="41">
        <f>IF(ISNUMBER(H792),H792,IF(AND(D792="労務費",TRIM(E792)&lt;&gt;""),IFERROR(INDEX('設定'!$G$12:$G$31,MATCH(TRIM(E792),'設定'!$J$12:$J$31,0)),""),""))</f>
        <v/>
      </c>
      <c r="K792" s="30">
        <f>IF(AND(ISNUMBER(F792),ISNUMBER(J792)),ROUND(F792*J792,0),IF(ISNUMBER(I792),I792,""))</f>
        <v/>
      </c>
      <c r="L792" s="33" t="n"/>
      <c r="M792" s="34">
        <f>IF(COUNTA(A792:B792,D792:I792,L792)=0,"",IF(B792="","案件番号がありません",IF(ISNA(MATCH(B792,'案件'!$A$6:$A$105,0)),"案件シートに無い番号です",IF(NOT(OR(D792="材料費",D792="労務費",D792="外注費",D792="経費")),"費目を4つから選んでください",IF(K792="",IF(AND(ISNUMBER(F792),NOT(ISNUMBER(J792))),IF(D792="労務費","単価がありません（設定の作業者名と同じ書き方に）","単価がありません"),IF(AND(ISNUMBER(J792),NOT(ISNUMBER(F792))),"数量がありません","金額がありません")),IF(NOT(ISNUMBER(A792)),"日付がありません（月別集計に入りません）",IF(AND(ISNUMBER(F792),ISNUMBER(J792),ISNUMBER(I792)),"数量×単価を使いました（金額の欄は使っていません）","")))))))</f>
        <v/>
      </c>
      <c r="N792" s="91">
        <f>IF(AND(B792&lt;&gt;"",B792='案件カード'!$C$3),COUNTIF($B$5:B792,'案件カード'!$C$3),"")</f>
        <v/>
      </c>
      <c r="O792" s="91">
        <f>IF(ISNUMBER(K792),IF(B792="",K792,IF(AND(ISNUMBER(MATCH(B792,'案件'!$A$6:$A$105,0)),OR(D792="材料費",D792="労務費",D792="外注費",D792="経費")),0,K792)),0)</f>
        <v/>
      </c>
    </row>
    <row r="793" ht="16" customHeight="1">
      <c r="A793" s="35" t="n"/>
      <c r="B793" s="36" t="n"/>
      <c r="C793" s="37">
        <f>IF(B793="","",IFERROR(INDEX('案件'!$B$6:$B$105,MATCH(B793,'案件'!$A$6:$A$105,0))&amp;"","（案件シートに無い番号）"))</f>
        <v/>
      </c>
      <c r="D793" s="36" t="n"/>
      <c r="E793" s="38" t="n"/>
      <c r="F793" s="39" t="n"/>
      <c r="G793" s="36" t="n"/>
      <c r="H793" s="40" t="n"/>
      <c r="I793" s="40" t="n"/>
      <c r="J793" s="41">
        <f>IF(ISNUMBER(H793),H793,IF(AND(D793="労務費",TRIM(E793)&lt;&gt;""),IFERROR(INDEX('設定'!$G$12:$G$31,MATCH(TRIM(E793),'設定'!$J$12:$J$31,0)),""),""))</f>
        <v/>
      </c>
      <c r="K793" s="30">
        <f>IF(AND(ISNUMBER(F793),ISNUMBER(J793)),ROUND(F793*J793,0),IF(ISNUMBER(I793),I793,""))</f>
        <v/>
      </c>
      <c r="L793" s="33" t="n"/>
      <c r="M793" s="34">
        <f>IF(COUNTA(A793:B793,D793:I793,L793)=0,"",IF(B793="","案件番号がありません",IF(ISNA(MATCH(B793,'案件'!$A$6:$A$105,0)),"案件シートに無い番号です",IF(NOT(OR(D793="材料費",D793="労務費",D793="外注費",D793="経費")),"費目を4つから選んでください",IF(K793="",IF(AND(ISNUMBER(F793),NOT(ISNUMBER(J793))),IF(D793="労務費","単価がありません（設定の作業者名と同じ書き方に）","単価がありません"),IF(AND(ISNUMBER(J793),NOT(ISNUMBER(F793))),"数量がありません","金額がありません")),IF(NOT(ISNUMBER(A793)),"日付がありません（月別集計に入りません）",IF(AND(ISNUMBER(F793),ISNUMBER(J793),ISNUMBER(I793)),"数量×単価を使いました（金額の欄は使っていません）","")))))))</f>
        <v/>
      </c>
      <c r="N793" s="91">
        <f>IF(AND(B793&lt;&gt;"",B793='案件カード'!$C$3),COUNTIF($B$5:B793,'案件カード'!$C$3),"")</f>
        <v/>
      </c>
      <c r="O793" s="91">
        <f>IF(ISNUMBER(K793),IF(B793="",K793,IF(AND(ISNUMBER(MATCH(B793,'案件'!$A$6:$A$105,0)),OR(D793="材料費",D793="労務費",D793="外注費",D793="経費")),0,K793)),0)</f>
        <v/>
      </c>
    </row>
    <row r="794" ht="16" customHeight="1">
      <c r="A794" s="35" t="n"/>
      <c r="B794" s="36" t="n"/>
      <c r="C794" s="37">
        <f>IF(B794="","",IFERROR(INDEX('案件'!$B$6:$B$105,MATCH(B794,'案件'!$A$6:$A$105,0))&amp;"","（案件シートに無い番号）"))</f>
        <v/>
      </c>
      <c r="D794" s="36" t="n"/>
      <c r="E794" s="38" t="n"/>
      <c r="F794" s="39" t="n"/>
      <c r="G794" s="36" t="n"/>
      <c r="H794" s="40" t="n"/>
      <c r="I794" s="40" t="n"/>
      <c r="J794" s="41">
        <f>IF(ISNUMBER(H794),H794,IF(AND(D794="労務費",TRIM(E794)&lt;&gt;""),IFERROR(INDEX('設定'!$G$12:$G$31,MATCH(TRIM(E794),'設定'!$J$12:$J$31,0)),""),""))</f>
        <v/>
      </c>
      <c r="K794" s="30">
        <f>IF(AND(ISNUMBER(F794),ISNUMBER(J794)),ROUND(F794*J794,0),IF(ISNUMBER(I794),I794,""))</f>
        <v/>
      </c>
      <c r="L794" s="33" t="n"/>
      <c r="M794" s="34">
        <f>IF(COUNTA(A794:B794,D794:I794,L794)=0,"",IF(B794="","案件番号がありません",IF(ISNA(MATCH(B794,'案件'!$A$6:$A$105,0)),"案件シートに無い番号です",IF(NOT(OR(D794="材料費",D794="労務費",D794="外注費",D794="経費")),"費目を4つから選んでください",IF(K794="",IF(AND(ISNUMBER(F794),NOT(ISNUMBER(J794))),IF(D794="労務費","単価がありません（設定の作業者名と同じ書き方に）","単価がありません"),IF(AND(ISNUMBER(J794),NOT(ISNUMBER(F794))),"数量がありません","金額がありません")),IF(NOT(ISNUMBER(A794)),"日付がありません（月別集計に入りません）",IF(AND(ISNUMBER(F794),ISNUMBER(J794),ISNUMBER(I794)),"数量×単価を使いました（金額の欄は使っていません）","")))))))</f>
        <v/>
      </c>
      <c r="N794" s="91">
        <f>IF(AND(B794&lt;&gt;"",B794='案件カード'!$C$3),COUNTIF($B$5:B794,'案件カード'!$C$3),"")</f>
        <v/>
      </c>
      <c r="O794" s="91">
        <f>IF(ISNUMBER(K794),IF(B794="",K794,IF(AND(ISNUMBER(MATCH(B794,'案件'!$A$6:$A$105,0)),OR(D794="材料費",D794="労務費",D794="外注費",D794="経費")),0,K794)),0)</f>
        <v/>
      </c>
    </row>
    <row r="795" ht="16" customHeight="1">
      <c r="A795" s="35" t="n"/>
      <c r="B795" s="36" t="n"/>
      <c r="C795" s="37">
        <f>IF(B795="","",IFERROR(INDEX('案件'!$B$6:$B$105,MATCH(B795,'案件'!$A$6:$A$105,0))&amp;"","（案件シートに無い番号）"))</f>
        <v/>
      </c>
      <c r="D795" s="36" t="n"/>
      <c r="E795" s="38" t="n"/>
      <c r="F795" s="39" t="n"/>
      <c r="G795" s="36" t="n"/>
      <c r="H795" s="40" t="n"/>
      <c r="I795" s="40" t="n"/>
      <c r="J795" s="41">
        <f>IF(ISNUMBER(H795),H795,IF(AND(D795="労務費",TRIM(E795)&lt;&gt;""),IFERROR(INDEX('設定'!$G$12:$G$31,MATCH(TRIM(E795),'設定'!$J$12:$J$31,0)),""),""))</f>
        <v/>
      </c>
      <c r="K795" s="30">
        <f>IF(AND(ISNUMBER(F795),ISNUMBER(J795)),ROUND(F795*J795,0),IF(ISNUMBER(I795),I795,""))</f>
        <v/>
      </c>
      <c r="L795" s="33" t="n"/>
      <c r="M795" s="34">
        <f>IF(COUNTA(A795:B795,D795:I795,L795)=0,"",IF(B795="","案件番号がありません",IF(ISNA(MATCH(B795,'案件'!$A$6:$A$105,0)),"案件シートに無い番号です",IF(NOT(OR(D795="材料費",D795="労務費",D795="外注費",D795="経費")),"費目を4つから選んでください",IF(K795="",IF(AND(ISNUMBER(F795),NOT(ISNUMBER(J795))),IF(D795="労務費","単価がありません（設定の作業者名と同じ書き方に）","単価がありません"),IF(AND(ISNUMBER(J795),NOT(ISNUMBER(F795))),"数量がありません","金額がありません")),IF(NOT(ISNUMBER(A795)),"日付がありません（月別集計に入りません）",IF(AND(ISNUMBER(F795),ISNUMBER(J795),ISNUMBER(I795)),"数量×単価を使いました（金額の欄は使っていません）","")))))))</f>
        <v/>
      </c>
      <c r="N795" s="91">
        <f>IF(AND(B795&lt;&gt;"",B795='案件カード'!$C$3),COUNTIF($B$5:B795,'案件カード'!$C$3),"")</f>
        <v/>
      </c>
      <c r="O795" s="91">
        <f>IF(ISNUMBER(K795),IF(B795="",K795,IF(AND(ISNUMBER(MATCH(B795,'案件'!$A$6:$A$105,0)),OR(D795="材料費",D795="労務費",D795="外注費",D795="経費")),0,K795)),0)</f>
        <v/>
      </c>
    </row>
    <row r="796" ht="16" customHeight="1">
      <c r="A796" s="35" t="n"/>
      <c r="B796" s="36" t="n"/>
      <c r="C796" s="37">
        <f>IF(B796="","",IFERROR(INDEX('案件'!$B$6:$B$105,MATCH(B796,'案件'!$A$6:$A$105,0))&amp;"","（案件シートに無い番号）"))</f>
        <v/>
      </c>
      <c r="D796" s="36" t="n"/>
      <c r="E796" s="38" t="n"/>
      <c r="F796" s="39" t="n"/>
      <c r="G796" s="36" t="n"/>
      <c r="H796" s="40" t="n"/>
      <c r="I796" s="40" t="n"/>
      <c r="J796" s="41">
        <f>IF(ISNUMBER(H796),H796,IF(AND(D796="労務費",TRIM(E796)&lt;&gt;""),IFERROR(INDEX('設定'!$G$12:$G$31,MATCH(TRIM(E796),'設定'!$J$12:$J$31,0)),""),""))</f>
        <v/>
      </c>
      <c r="K796" s="30">
        <f>IF(AND(ISNUMBER(F796),ISNUMBER(J796)),ROUND(F796*J796,0),IF(ISNUMBER(I796),I796,""))</f>
        <v/>
      </c>
      <c r="L796" s="33" t="n"/>
      <c r="M796" s="34">
        <f>IF(COUNTA(A796:B796,D796:I796,L796)=0,"",IF(B796="","案件番号がありません",IF(ISNA(MATCH(B796,'案件'!$A$6:$A$105,0)),"案件シートに無い番号です",IF(NOT(OR(D796="材料費",D796="労務費",D796="外注費",D796="経費")),"費目を4つから選んでください",IF(K796="",IF(AND(ISNUMBER(F796),NOT(ISNUMBER(J796))),IF(D796="労務費","単価がありません（設定の作業者名と同じ書き方に）","単価がありません"),IF(AND(ISNUMBER(J796),NOT(ISNUMBER(F796))),"数量がありません","金額がありません")),IF(NOT(ISNUMBER(A796)),"日付がありません（月別集計に入りません）",IF(AND(ISNUMBER(F796),ISNUMBER(J796),ISNUMBER(I796)),"数量×単価を使いました（金額の欄は使っていません）","")))))))</f>
        <v/>
      </c>
      <c r="N796" s="91">
        <f>IF(AND(B796&lt;&gt;"",B796='案件カード'!$C$3),COUNTIF($B$5:B796,'案件カード'!$C$3),"")</f>
        <v/>
      </c>
      <c r="O796" s="91">
        <f>IF(ISNUMBER(K796),IF(B796="",K796,IF(AND(ISNUMBER(MATCH(B796,'案件'!$A$6:$A$105,0)),OR(D796="材料費",D796="労務費",D796="外注費",D796="経費")),0,K796)),0)</f>
        <v/>
      </c>
    </row>
    <row r="797" ht="16" customHeight="1">
      <c r="A797" s="35" t="n"/>
      <c r="B797" s="36" t="n"/>
      <c r="C797" s="37">
        <f>IF(B797="","",IFERROR(INDEX('案件'!$B$6:$B$105,MATCH(B797,'案件'!$A$6:$A$105,0))&amp;"","（案件シートに無い番号）"))</f>
        <v/>
      </c>
      <c r="D797" s="36" t="n"/>
      <c r="E797" s="38" t="n"/>
      <c r="F797" s="39" t="n"/>
      <c r="G797" s="36" t="n"/>
      <c r="H797" s="40" t="n"/>
      <c r="I797" s="40" t="n"/>
      <c r="J797" s="41">
        <f>IF(ISNUMBER(H797),H797,IF(AND(D797="労務費",TRIM(E797)&lt;&gt;""),IFERROR(INDEX('設定'!$G$12:$G$31,MATCH(TRIM(E797),'設定'!$J$12:$J$31,0)),""),""))</f>
        <v/>
      </c>
      <c r="K797" s="30">
        <f>IF(AND(ISNUMBER(F797),ISNUMBER(J797)),ROUND(F797*J797,0),IF(ISNUMBER(I797),I797,""))</f>
        <v/>
      </c>
      <c r="L797" s="33" t="n"/>
      <c r="M797" s="34">
        <f>IF(COUNTA(A797:B797,D797:I797,L797)=0,"",IF(B797="","案件番号がありません",IF(ISNA(MATCH(B797,'案件'!$A$6:$A$105,0)),"案件シートに無い番号です",IF(NOT(OR(D797="材料費",D797="労務費",D797="外注費",D797="経費")),"費目を4つから選んでください",IF(K797="",IF(AND(ISNUMBER(F797),NOT(ISNUMBER(J797))),IF(D797="労務費","単価がありません（設定の作業者名と同じ書き方に）","単価がありません"),IF(AND(ISNUMBER(J797),NOT(ISNUMBER(F797))),"数量がありません","金額がありません")),IF(NOT(ISNUMBER(A797)),"日付がありません（月別集計に入りません）",IF(AND(ISNUMBER(F797),ISNUMBER(J797),ISNUMBER(I797)),"数量×単価を使いました（金額の欄は使っていません）","")))))))</f>
        <v/>
      </c>
      <c r="N797" s="91">
        <f>IF(AND(B797&lt;&gt;"",B797='案件カード'!$C$3),COUNTIF($B$5:B797,'案件カード'!$C$3),"")</f>
        <v/>
      </c>
      <c r="O797" s="91">
        <f>IF(ISNUMBER(K797),IF(B797="",K797,IF(AND(ISNUMBER(MATCH(B797,'案件'!$A$6:$A$105,0)),OR(D797="材料費",D797="労務費",D797="外注費",D797="経費")),0,K797)),0)</f>
        <v/>
      </c>
    </row>
    <row r="798" ht="16" customHeight="1">
      <c r="A798" s="35" t="n"/>
      <c r="B798" s="36" t="n"/>
      <c r="C798" s="37">
        <f>IF(B798="","",IFERROR(INDEX('案件'!$B$6:$B$105,MATCH(B798,'案件'!$A$6:$A$105,0))&amp;"","（案件シートに無い番号）"))</f>
        <v/>
      </c>
      <c r="D798" s="36" t="n"/>
      <c r="E798" s="38" t="n"/>
      <c r="F798" s="39" t="n"/>
      <c r="G798" s="36" t="n"/>
      <c r="H798" s="40" t="n"/>
      <c r="I798" s="40" t="n"/>
      <c r="J798" s="41">
        <f>IF(ISNUMBER(H798),H798,IF(AND(D798="労務費",TRIM(E798)&lt;&gt;""),IFERROR(INDEX('設定'!$G$12:$G$31,MATCH(TRIM(E798),'設定'!$J$12:$J$31,0)),""),""))</f>
        <v/>
      </c>
      <c r="K798" s="30">
        <f>IF(AND(ISNUMBER(F798),ISNUMBER(J798)),ROUND(F798*J798,0),IF(ISNUMBER(I798),I798,""))</f>
        <v/>
      </c>
      <c r="L798" s="33" t="n"/>
      <c r="M798" s="34">
        <f>IF(COUNTA(A798:B798,D798:I798,L798)=0,"",IF(B798="","案件番号がありません",IF(ISNA(MATCH(B798,'案件'!$A$6:$A$105,0)),"案件シートに無い番号です",IF(NOT(OR(D798="材料費",D798="労務費",D798="外注費",D798="経費")),"費目を4つから選んでください",IF(K798="",IF(AND(ISNUMBER(F798),NOT(ISNUMBER(J798))),IF(D798="労務費","単価がありません（設定の作業者名と同じ書き方に）","単価がありません"),IF(AND(ISNUMBER(J798),NOT(ISNUMBER(F798))),"数量がありません","金額がありません")),IF(NOT(ISNUMBER(A798)),"日付がありません（月別集計に入りません）",IF(AND(ISNUMBER(F798),ISNUMBER(J798),ISNUMBER(I798)),"数量×単価を使いました（金額の欄は使っていません）","")))))))</f>
        <v/>
      </c>
      <c r="N798" s="91">
        <f>IF(AND(B798&lt;&gt;"",B798='案件カード'!$C$3),COUNTIF($B$5:B798,'案件カード'!$C$3),"")</f>
        <v/>
      </c>
      <c r="O798" s="91">
        <f>IF(ISNUMBER(K798),IF(B798="",K798,IF(AND(ISNUMBER(MATCH(B798,'案件'!$A$6:$A$105,0)),OR(D798="材料費",D798="労務費",D798="外注費",D798="経費")),0,K798)),0)</f>
        <v/>
      </c>
    </row>
    <row r="799" ht="16" customHeight="1">
      <c r="A799" s="35" t="n"/>
      <c r="B799" s="36" t="n"/>
      <c r="C799" s="37">
        <f>IF(B799="","",IFERROR(INDEX('案件'!$B$6:$B$105,MATCH(B799,'案件'!$A$6:$A$105,0))&amp;"","（案件シートに無い番号）"))</f>
        <v/>
      </c>
      <c r="D799" s="36" t="n"/>
      <c r="E799" s="38" t="n"/>
      <c r="F799" s="39" t="n"/>
      <c r="G799" s="36" t="n"/>
      <c r="H799" s="40" t="n"/>
      <c r="I799" s="40" t="n"/>
      <c r="J799" s="41">
        <f>IF(ISNUMBER(H799),H799,IF(AND(D799="労務費",TRIM(E799)&lt;&gt;""),IFERROR(INDEX('設定'!$G$12:$G$31,MATCH(TRIM(E799),'設定'!$J$12:$J$31,0)),""),""))</f>
        <v/>
      </c>
      <c r="K799" s="30">
        <f>IF(AND(ISNUMBER(F799),ISNUMBER(J799)),ROUND(F799*J799,0),IF(ISNUMBER(I799),I799,""))</f>
        <v/>
      </c>
      <c r="L799" s="33" t="n"/>
      <c r="M799" s="34">
        <f>IF(COUNTA(A799:B799,D799:I799,L799)=0,"",IF(B799="","案件番号がありません",IF(ISNA(MATCH(B799,'案件'!$A$6:$A$105,0)),"案件シートに無い番号です",IF(NOT(OR(D799="材料費",D799="労務費",D799="外注費",D799="経費")),"費目を4つから選んでください",IF(K799="",IF(AND(ISNUMBER(F799),NOT(ISNUMBER(J799))),IF(D799="労務費","単価がありません（設定の作業者名と同じ書き方に）","単価がありません"),IF(AND(ISNUMBER(J799),NOT(ISNUMBER(F799))),"数量がありません","金額がありません")),IF(NOT(ISNUMBER(A799)),"日付がありません（月別集計に入りません）",IF(AND(ISNUMBER(F799),ISNUMBER(J799),ISNUMBER(I799)),"数量×単価を使いました（金額の欄は使っていません）","")))))))</f>
        <v/>
      </c>
      <c r="N799" s="91">
        <f>IF(AND(B799&lt;&gt;"",B799='案件カード'!$C$3),COUNTIF($B$5:B799,'案件カード'!$C$3),"")</f>
        <v/>
      </c>
      <c r="O799" s="91">
        <f>IF(ISNUMBER(K799),IF(B799="",K799,IF(AND(ISNUMBER(MATCH(B799,'案件'!$A$6:$A$105,0)),OR(D799="材料費",D799="労務費",D799="外注費",D799="経費")),0,K799)),0)</f>
        <v/>
      </c>
    </row>
    <row r="800" ht="16" customHeight="1">
      <c r="A800" s="35" t="n"/>
      <c r="B800" s="36" t="n"/>
      <c r="C800" s="37">
        <f>IF(B800="","",IFERROR(INDEX('案件'!$B$6:$B$105,MATCH(B800,'案件'!$A$6:$A$105,0))&amp;"","（案件シートに無い番号）"))</f>
        <v/>
      </c>
      <c r="D800" s="36" t="n"/>
      <c r="E800" s="38" t="n"/>
      <c r="F800" s="39" t="n"/>
      <c r="G800" s="36" t="n"/>
      <c r="H800" s="40" t="n"/>
      <c r="I800" s="40" t="n"/>
      <c r="J800" s="41">
        <f>IF(ISNUMBER(H800),H800,IF(AND(D800="労務費",TRIM(E800)&lt;&gt;""),IFERROR(INDEX('設定'!$G$12:$G$31,MATCH(TRIM(E800),'設定'!$J$12:$J$31,0)),""),""))</f>
        <v/>
      </c>
      <c r="K800" s="30">
        <f>IF(AND(ISNUMBER(F800),ISNUMBER(J800)),ROUND(F800*J800,0),IF(ISNUMBER(I800),I800,""))</f>
        <v/>
      </c>
      <c r="L800" s="33" t="n"/>
      <c r="M800" s="34">
        <f>IF(COUNTA(A800:B800,D800:I800,L800)=0,"",IF(B800="","案件番号がありません",IF(ISNA(MATCH(B800,'案件'!$A$6:$A$105,0)),"案件シートに無い番号です",IF(NOT(OR(D800="材料費",D800="労務費",D800="外注費",D800="経費")),"費目を4つから選んでください",IF(K800="",IF(AND(ISNUMBER(F800),NOT(ISNUMBER(J800))),IF(D800="労務費","単価がありません（設定の作業者名と同じ書き方に）","単価がありません"),IF(AND(ISNUMBER(J800),NOT(ISNUMBER(F800))),"数量がありません","金額がありません")),IF(NOT(ISNUMBER(A800)),"日付がありません（月別集計に入りません）",IF(AND(ISNUMBER(F800),ISNUMBER(J800),ISNUMBER(I800)),"数量×単価を使いました（金額の欄は使っていません）","")))))))</f>
        <v/>
      </c>
      <c r="N800" s="91">
        <f>IF(AND(B800&lt;&gt;"",B800='案件カード'!$C$3),COUNTIF($B$5:B800,'案件カード'!$C$3),"")</f>
        <v/>
      </c>
      <c r="O800" s="91">
        <f>IF(ISNUMBER(K800),IF(B800="",K800,IF(AND(ISNUMBER(MATCH(B800,'案件'!$A$6:$A$105,0)),OR(D800="材料費",D800="労務費",D800="外注費",D800="経費")),0,K800)),0)</f>
        <v/>
      </c>
    </row>
    <row r="801" ht="16" customHeight="1">
      <c r="A801" s="35" t="n"/>
      <c r="B801" s="36" t="n"/>
      <c r="C801" s="37">
        <f>IF(B801="","",IFERROR(INDEX('案件'!$B$6:$B$105,MATCH(B801,'案件'!$A$6:$A$105,0))&amp;"","（案件シートに無い番号）"))</f>
        <v/>
      </c>
      <c r="D801" s="36" t="n"/>
      <c r="E801" s="38" t="n"/>
      <c r="F801" s="39" t="n"/>
      <c r="G801" s="36" t="n"/>
      <c r="H801" s="40" t="n"/>
      <c r="I801" s="40" t="n"/>
      <c r="J801" s="41">
        <f>IF(ISNUMBER(H801),H801,IF(AND(D801="労務費",TRIM(E801)&lt;&gt;""),IFERROR(INDEX('設定'!$G$12:$G$31,MATCH(TRIM(E801),'設定'!$J$12:$J$31,0)),""),""))</f>
        <v/>
      </c>
      <c r="K801" s="30">
        <f>IF(AND(ISNUMBER(F801),ISNUMBER(J801)),ROUND(F801*J801,0),IF(ISNUMBER(I801),I801,""))</f>
        <v/>
      </c>
      <c r="L801" s="33" t="n"/>
      <c r="M801" s="34">
        <f>IF(COUNTA(A801:B801,D801:I801,L801)=0,"",IF(B801="","案件番号がありません",IF(ISNA(MATCH(B801,'案件'!$A$6:$A$105,0)),"案件シートに無い番号です",IF(NOT(OR(D801="材料費",D801="労務費",D801="外注費",D801="経費")),"費目を4つから選んでください",IF(K801="",IF(AND(ISNUMBER(F801),NOT(ISNUMBER(J801))),IF(D801="労務費","単価がありません（設定の作業者名と同じ書き方に）","単価がありません"),IF(AND(ISNUMBER(J801),NOT(ISNUMBER(F801))),"数量がありません","金額がありません")),IF(NOT(ISNUMBER(A801)),"日付がありません（月別集計に入りません）",IF(AND(ISNUMBER(F801),ISNUMBER(J801),ISNUMBER(I801)),"数量×単価を使いました（金額の欄は使っていません）","")))))))</f>
        <v/>
      </c>
      <c r="N801" s="91">
        <f>IF(AND(B801&lt;&gt;"",B801='案件カード'!$C$3),COUNTIF($B$5:B801,'案件カード'!$C$3),"")</f>
        <v/>
      </c>
      <c r="O801" s="91">
        <f>IF(ISNUMBER(K801),IF(B801="",K801,IF(AND(ISNUMBER(MATCH(B801,'案件'!$A$6:$A$105,0)),OR(D801="材料費",D801="労務費",D801="外注費",D801="経費")),0,K801)),0)</f>
        <v/>
      </c>
    </row>
    <row r="802" ht="16" customHeight="1">
      <c r="A802" s="35" t="n"/>
      <c r="B802" s="36" t="n"/>
      <c r="C802" s="37">
        <f>IF(B802="","",IFERROR(INDEX('案件'!$B$6:$B$105,MATCH(B802,'案件'!$A$6:$A$105,0))&amp;"","（案件シートに無い番号）"))</f>
        <v/>
      </c>
      <c r="D802" s="36" t="n"/>
      <c r="E802" s="38" t="n"/>
      <c r="F802" s="39" t="n"/>
      <c r="G802" s="36" t="n"/>
      <c r="H802" s="40" t="n"/>
      <c r="I802" s="40" t="n"/>
      <c r="J802" s="41">
        <f>IF(ISNUMBER(H802),H802,IF(AND(D802="労務費",TRIM(E802)&lt;&gt;""),IFERROR(INDEX('設定'!$G$12:$G$31,MATCH(TRIM(E802),'設定'!$J$12:$J$31,0)),""),""))</f>
        <v/>
      </c>
      <c r="K802" s="30">
        <f>IF(AND(ISNUMBER(F802),ISNUMBER(J802)),ROUND(F802*J802,0),IF(ISNUMBER(I802),I802,""))</f>
        <v/>
      </c>
      <c r="L802" s="33" t="n"/>
      <c r="M802" s="34">
        <f>IF(COUNTA(A802:B802,D802:I802,L802)=0,"",IF(B802="","案件番号がありません",IF(ISNA(MATCH(B802,'案件'!$A$6:$A$105,0)),"案件シートに無い番号です",IF(NOT(OR(D802="材料費",D802="労務費",D802="外注費",D802="経費")),"費目を4つから選んでください",IF(K802="",IF(AND(ISNUMBER(F802),NOT(ISNUMBER(J802))),IF(D802="労務費","単価がありません（設定の作業者名と同じ書き方に）","単価がありません"),IF(AND(ISNUMBER(J802),NOT(ISNUMBER(F802))),"数量がありません","金額がありません")),IF(NOT(ISNUMBER(A802)),"日付がありません（月別集計に入りません）",IF(AND(ISNUMBER(F802),ISNUMBER(J802),ISNUMBER(I802)),"数量×単価を使いました（金額の欄は使っていません）","")))))))</f>
        <v/>
      </c>
      <c r="N802" s="91">
        <f>IF(AND(B802&lt;&gt;"",B802='案件カード'!$C$3),COUNTIF($B$5:B802,'案件カード'!$C$3),"")</f>
        <v/>
      </c>
      <c r="O802" s="91">
        <f>IF(ISNUMBER(K802),IF(B802="",K802,IF(AND(ISNUMBER(MATCH(B802,'案件'!$A$6:$A$105,0)),OR(D802="材料費",D802="労務費",D802="外注費",D802="経費")),0,K802)),0)</f>
        <v/>
      </c>
    </row>
    <row r="803" ht="16" customHeight="1">
      <c r="A803" s="35" t="n"/>
      <c r="B803" s="36" t="n"/>
      <c r="C803" s="37">
        <f>IF(B803="","",IFERROR(INDEX('案件'!$B$6:$B$105,MATCH(B803,'案件'!$A$6:$A$105,0))&amp;"","（案件シートに無い番号）"))</f>
        <v/>
      </c>
      <c r="D803" s="36" t="n"/>
      <c r="E803" s="38" t="n"/>
      <c r="F803" s="39" t="n"/>
      <c r="G803" s="36" t="n"/>
      <c r="H803" s="40" t="n"/>
      <c r="I803" s="40" t="n"/>
      <c r="J803" s="41">
        <f>IF(ISNUMBER(H803),H803,IF(AND(D803="労務費",TRIM(E803)&lt;&gt;""),IFERROR(INDEX('設定'!$G$12:$G$31,MATCH(TRIM(E803),'設定'!$J$12:$J$31,0)),""),""))</f>
        <v/>
      </c>
      <c r="K803" s="30">
        <f>IF(AND(ISNUMBER(F803),ISNUMBER(J803)),ROUND(F803*J803,0),IF(ISNUMBER(I803),I803,""))</f>
        <v/>
      </c>
      <c r="L803" s="33" t="n"/>
      <c r="M803" s="34">
        <f>IF(COUNTA(A803:B803,D803:I803,L803)=0,"",IF(B803="","案件番号がありません",IF(ISNA(MATCH(B803,'案件'!$A$6:$A$105,0)),"案件シートに無い番号です",IF(NOT(OR(D803="材料費",D803="労務費",D803="外注費",D803="経費")),"費目を4つから選んでください",IF(K803="",IF(AND(ISNUMBER(F803),NOT(ISNUMBER(J803))),IF(D803="労務費","単価がありません（設定の作業者名と同じ書き方に）","単価がありません"),IF(AND(ISNUMBER(J803),NOT(ISNUMBER(F803))),"数量がありません","金額がありません")),IF(NOT(ISNUMBER(A803)),"日付がありません（月別集計に入りません）",IF(AND(ISNUMBER(F803),ISNUMBER(J803),ISNUMBER(I803)),"数量×単価を使いました（金額の欄は使っていません）","")))))))</f>
        <v/>
      </c>
      <c r="N803" s="91">
        <f>IF(AND(B803&lt;&gt;"",B803='案件カード'!$C$3),COUNTIF($B$5:B803,'案件カード'!$C$3),"")</f>
        <v/>
      </c>
      <c r="O803" s="91">
        <f>IF(ISNUMBER(K803),IF(B803="",K803,IF(AND(ISNUMBER(MATCH(B803,'案件'!$A$6:$A$105,0)),OR(D803="材料費",D803="労務費",D803="外注費",D803="経費")),0,K803)),0)</f>
        <v/>
      </c>
    </row>
    <row r="804" ht="16" customHeight="1">
      <c r="A804" s="35" t="n"/>
      <c r="B804" s="36" t="n"/>
      <c r="C804" s="37">
        <f>IF(B804="","",IFERROR(INDEX('案件'!$B$6:$B$105,MATCH(B804,'案件'!$A$6:$A$105,0))&amp;"","（案件シートに無い番号）"))</f>
        <v/>
      </c>
      <c r="D804" s="36" t="n"/>
      <c r="E804" s="38" t="n"/>
      <c r="F804" s="39" t="n"/>
      <c r="G804" s="36" t="n"/>
      <c r="H804" s="40" t="n"/>
      <c r="I804" s="40" t="n"/>
      <c r="J804" s="41">
        <f>IF(ISNUMBER(H804),H804,IF(AND(D804="労務費",TRIM(E804)&lt;&gt;""),IFERROR(INDEX('設定'!$G$12:$G$31,MATCH(TRIM(E804),'設定'!$J$12:$J$31,0)),""),""))</f>
        <v/>
      </c>
      <c r="K804" s="30">
        <f>IF(AND(ISNUMBER(F804),ISNUMBER(J804)),ROUND(F804*J804,0),IF(ISNUMBER(I804),I804,""))</f>
        <v/>
      </c>
      <c r="L804" s="33" t="n"/>
      <c r="M804" s="34">
        <f>IF(COUNTA(A804:B804,D804:I804,L804)=0,"",IF(B804="","案件番号がありません",IF(ISNA(MATCH(B804,'案件'!$A$6:$A$105,0)),"案件シートに無い番号です",IF(NOT(OR(D804="材料費",D804="労務費",D804="外注費",D804="経費")),"費目を4つから選んでください",IF(K804="",IF(AND(ISNUMBER(F804),NOT(ISNUMBER(J804))),IF(D804="労務費","単価がありません（設定の作業者名と同じ書き方に）","単価がありません"),IF(AND(ISNUMBER(J804),NOT(ISNUMBER(F804))),"数量がありません","金額がありません")),IF(NOT(ISNUMBER(A804)),"日付がありません（月別集計に入りません）",IF(AND(ISNUMBER(F804),ISNUMBER(J804),ISNUMBER(I804)),"数量×単価を使いました（金額の欄は使っていません）","")))))))</f>
        <v/>
      </c>
      <c r="N804" s="91">
        <f>IF(AND(B804&lt;&gt;"",B804='案件カード'!$C$3),COUNTIF($B$5:B804,'案件カード'!$C$3),"")</f>
        <v/>
      </c>
      <c r="O804" s="91">
        <f>IF(ISNUMBER(K804),IF(B804="",K804,IF(AND(ISNUMBER(MATCH(B804,'案件'!$A$6:$A$105,0)),OR(D804="材料費",D804="労務費",D804="外注費",D804="経費")),0,K804)),0)</f>
        <v/>
      </c>
    </row>
    <row r="805" ht="16" customHeight="1">
      <c r="A805" s="35" t="n"/>
      <c r="B805" s="36" t="n"/>
      <c r="C805" s="37">
        <f>IF(B805="","",IFERROR(INDEX('案件'!$B$6:$B$105,MATCH(B805,'案件'!$A$6:$A$105,0))&amp;"","（案件シートに無い番号）"))</f>
        <v/>
      </c>
      <c r="D805" s="36" t="n"/>
      <c r="E805" s="38" t="n"/>
      <c r="F805" s="39" t="n"/>
      <c r="G805" s="36" t="n"/>
      <c r="H805" s="40" t="n"/>
      <c r="I805" s="40" t="n"/>
      <c r="J805" s="41">
        <f>IF(ISNUMBER(H805),H805,IF(AND(D805="労務費",TRIM(E805)&lt;&gt;""),IFERROR(INDEX('設定'!$G$12:$G$31,MATCH(TRIM(E805),'設定'!$J$12:$J$31,0)),""),""))</f>
        <v/>
      </c>
      <c r="K805" s="30">
        <f>IF(AND(ISNUMBER(F805),ISNUMBER(J805)),ROUND(F805*J805,0),IF(ISNUMBER(I805),I805,""))</f>
        <v/>
      </c>
      <c r="L805" s="33" t="n"/>
      <c r="M805" s="34">
        <f>IF(COUNTA(A805:B805,D805:I805,L805)=0,"",IF(B805="","案件番号がありません",IF(ISNA(MATCH(B805,'案件'!$A$6:$A$105,0)),"案件シートに無い番号です",IF(NOT(OR(D805="材料費",D805="労務費",D805="外注費",D805="経費")),"費目を4つから選んでください",IF(K805="",IF(AND(ISNUMBER(F805),NOT(ISNUMBER(J805))),IF(D805="労務費","単価がありません（設定の作業者名と同じ書き方に）","単価がありません"),IF(AND(ISNUMBER(J805),NOT(ISNUMBER(F805))),"数量がありません","金額がありません")),IF(NOT(ISNUMBER(A805)),"日付がありません（月別集計に入りません）",IF(AND(ISNUMBER(F805),ISNUMBER(J805),ISNUMBER(I805)),"数量×単価を使いました（金額の欄は使っていません）","")))))))</f>
        <v/>
      </c>
      <c r="N805" s="91">
        <f>IF(AND(B805&lt;&gt;"",B805='案件カード'!$C$3),COUNTIF($B$5:B805,'案件カード'!$C$3),"")</f>
        <v/>
      </c>
      <c r="O805" s="91">
        <f>IF(ISNUMBER(K805),IF(B805="",K805,IF(AND(ISNUMBER(MATCH(B805,'案件'!$A$6:$A$105,0)),OR(D805="材料費",D805="労務費",D805="外注費",D805="経費")),0,K805)),0)</f>
        <v/>
      </c>
    </row>
    <row r="806" ht="16" customHeight="1">
      <c r="A806" s="35" t="n"/>
      <c r="B806" s="36" t="n"/>
      <c r="C806" s="37">
        <f>IF(B806="","",IFERROR(INDEX('案件'!$B$6:$B$105,MATCH(B806,'案件'!$A$6:$A$105,0))&amp;"","（案件シートに無い番号）"))</f>
        <v/>
      </c>
      <c r="D806" s="36" t="n"/>
      <c r="E806" s="38" t="n"/>
      <c r="F806" s="39" t="n"/>
      <c r="G806" s="36" t="n"/>
      <c r="H806" s="40" t="n"/>
      <c r="I806" s="40" t="n"/>
      <c r="J806" s="41">
        <f>IF(ISNUMBER(H806),H806,IF(AND(D806="労務費",TRIM(E806)&lt;&gt;""),IFERROR(INDEX('設定'!$G$12:$G$31,MATCH(TRIM(E806),'設定'!$J$12:$J$31,0)),""),""))</f>
        <v/>
      </c>
      <c r="K806" s="30">
        <f>IF(AND(ISNUMBER(F806),ISNUMBER(J806)),ROUND(F806*J806,0),IF(ISNUMBER(I806),I806,""))</f>
        <v/>
      </c>
      <c r="L806" s="33" t="n"/>
      <c r="M806" s="34">
        <f>IF(COUNTA(A806:B806,D806:I806,L806)=0,"",IF(B806="","案件番号がありません",IF(ISNA(MATCH(B806,'案件'!$A$6:$A$105,0)),"案件シートに無い番号です",IF(NOT(OR(D806="材料費",D806="労務費",D806="外注費",D806="経費")),"費目を4つから選んでください",IF(K806="",IF(AND(ISNUMBER(F806),NOT(ISNUMBER(J806))),IF(D806="労務費","単価がありません（設定の作業者名と同じ書き方に）","単価がありません"),IF(AND(ISNUMBER(J806),NOT(ISNUMBER(F806))),"数量がありません","金額がありません")),IF(NOT(ISNUMBER(A806)),"日付がありません（月別集計に入りません）",IF(AND(ISNUMBER(F806),ISNUMBER(J806),ISNUMBER(I806)),"数量×単価を使いました（金額の欄は使っていません）","")))))))</f>
        <v/>
      </c>
      <c r="N806" s="91">
        <f>IF(AND(B806&lt;&gt;"",B806='案件カード'!$C$3),COUNTIF($B$5:B806,'案件カード'!$C$3),"")</f>
        <v/>
      </c>
      <c r="O806" s="91">
        <f>IF(ISNUMBER(K806),IF(B806="",K806,IF(AND(ISNUMBER(MATCH(B806,'案件'!$A$6:$A$105,0)),OR(D806="材料費",D806="労務費",D806="外注費",D806="経費")),0,K806)),0)</f>
        <v/>
      </c>
    </row>
    <row r="807" ht="16" customHeight="1">
      <c r="A807" s="35" t="n"/>
      <c r="B807" s="36" t="n"/>
      <c r="C807" s="37">
        <f>IF(B807="","",IFERROR(INDEX('案件'!$B$6:$B$105,MATCH(B807,'案件'!$A$6:$A$105,0))&amp;"","（案件シートに無い番号）"))</f>
        <v/>
      </c>
      <c r="D807" s="36" t="n"/>
      <c r="E807" s="38" t="n"/>
      <c r="F807" s="39" t="n"/>
      <c r="G807" s="36" t="n"/>
      <c r="H807" s="40" t="n"/>
      <c r="I807" s="40" t="n"/>
      <c r="J807" s="41">
        <f>IF(ISNUMBER(H807),H807,IF(AND(D807="労務費",TRIM(E807)&lt;&gt;""),IFERROR(INDEX('設定'!$G$12:$G$31,MATCH(TRIM(E807),'設定'!$J$12:$J$31,0)),""),""))</f>
        <v/>
      </c>
      <c r="K807" s="30">
        <f>IF(AND(ISNUMBER(F807),ISNUMBER(J807)),ROUND(F807*J807,0),IF(ISNUMBER(I807),I807,""))</f>
        <v/>
      </c>
      <c r="L807" s="33" t="n"/>
      <c r="M807" s="34">
        <f>IF(COUNTA(A807:B807,D807:I807,L807)=0,"",IF(B807="","案件番号がありません",IF(ISNA(MATCH(B807,'案件'!$A$6:$A$105,0)),"案件シートに無い番号です",IF(NOT(OR(D807="材料費",D807="労務費",D807="外注費",D807="経費")),"費目を4つから選んでください",IF(K807="",IF(AND(ISNUMBER(F807),NOT(ISNUMBER(J807))),IF(D807="労務費","単価がありません（設定の作業者名と同じ書き方に）","単価がありません"),IF(AND(ISNUMBER(J807),NOT(ISNUMBER(F807))),"数量がありません","金額がありません")),IF(NOT(ISNUMBER(A807)),"日付がありません（月別集計に入りません）",IF(AND(ISNUMBER(F807),ISNUMBER(J807),ISNUMBER(I807)),"数量×単価を使いました（金額の欄は使っていません）","")))))))</f>
        <v/>
      </c>
      <c r="N807" s="91">
        <f>IF(AND(B807&lt;&gt;"",B807='案件カード'!$C$3),COUNTIF($B$5:B807,'案件カード'!$C$3),"")</f>
        <v/>
      </c>
      <c r="O807" s="91">
        <f>IF(ISNUMBER(K807),IF(B807="",K807,IF(AND(ISNUMBER(MATCH(B807,'案件'!$A$6:$A$105,0)),OR(D807="材料費",D807="労務費",D807="外注費",D807="経費")),0,K807)),0)</f>
        <v/>
      </c>
    </row>
    <row r="808" ht="16" customHeight="1">
      <c r="A808" s="35" t="n"/>
      <c r="B808" s="36" t="n"/>
      <c r="C808" s="37">
        <f>IF(B808="","",IFERROR(INDEX('案件'!$B$6:$B$105,MATCH(B808,'案件'!$A$6:$A$105,0))&amp;"","（案件シートに無い番号）"))</f>
        <v/>
      </c>
      <c r="D808" s="36" t="n"/>
      <c r="E808" s="38" t="n"/>
      <c r="F808" s="39" t="n"/>
      <c r="G808" s="36" t="n"/>
      <c r="H808" s="40" t="n"/>
      <c r="I808" s="40" t="n"/>
      <c r="J808" s="41">
        <f>IF(ISNUMBER(H808),H808,IF(AND(D808="労務費",TRIM(E808)&lt;&gt;""),IFERROR(INDEX('設定'!$G$12:$G$31,MATCH(TRIM(E808),'設定'!$J$12:$J$31,0)),""),""))</f>
        <v/>
      </c>
      <c r="K808" s="30">
        <f>IF(AND(ISNUMBER(F808),ISNUMBER(J808)),ROUND(F808*J808,0),IF(ISNUMBER(I808),I808,""))</f>
        <v/>
      </c>
      <c r="L808" s="33" t="n"/>
      <c r="M808" s="34">
        <f>IF(COUNTA(A808:B808,D808:I808,L808)=0,"",IF(B808="","案件番号がありません",IF(ISNA(MATCH(B808,'案件'!$A$6:$A$105,0)),"案件シートに無い番号です",IF(NOT(OR(D808="材料費",D808="労務費",D808="外注費",D808="経費")),"費目を4つから選んでください",IF(K808="",IF(AND(ISNUMBER(F808),NOT(ISNUMBER(J808))),IF(D808="労務費","単価がありません（設定の作業者名と同じ書き方に）","単価がありません"),IF(AND(ISNUMBER(J808),NOT(ISNUMBER(F808))),"数量がありません","金額がありません")),IF(NOT(ISNUMBER(A808)),"日付がありません（月別集計に入りません）",IF(AND(ISNUMBER(F808),ISNUMBER(J808),ISNUMBER(I808)),"数量×単価を使いました（金額の欄は使っていません）","")))))))</f>
        <v/>
      </c>
      <c r="N808" s="91">
        <f>IF(AND(B808&lt;&gt;"",B808='案件カード'!$C$3),COUNTIF($B$5:B808,'案件カード'!$C$3),"")</f>
        <v/>
      </c>
      <c r="O808" s="91">
        <f>IF(ISNUMBER(K808),IF(B808="",K808,IF(AND(ISNUMBER(MATCH(B808,'案件'!$A$6:$A$105,0)),OR(D808="材料費",D808="労務費",D808="外注費",D808="経費")),0,K808)),0)</f>
        <v/>
      </c>
    </row>
    <row r="809" ht="16" customHeight="1">
      <c r="A809" s="35" t="n"/>
      <c r="B809" s="36" t="n"/>
      <c r="C809" s="37">
        <f>IF(B809="","",IFERROR(INDEX('案件'!$B$6:$B$105,MATCH(B809,'案件'!$A$6:$A$105,0))&amp;"","（案件シートに無い番号）"))</f>
        <v/>
      </c>
      <c r="D809" s="36" t="n"/>
      <c r="E809" s="38" t="n"/>
      <c r="F809" s="39" t="n"/>
      <c r="G809" s="36" t="n"/>
      <c r="H809" s="40" t="n"/>
      <c r="I809" s="40" t="n"/>
      <c r="J809" s="41">
        <f>IF(ISNUMBER(H809),H809,IF(AND(D809="労務費",TRIM(E809)&lt;&gt;""),IFERROR(INDEX('設定'!$G$12:$G$31,MATCH(TRIM(E809),'設定'!$J$12:$J$31,0)),""),""))</f>
        <v/>
      </c>
      <c r="K809" s="30">
        <f>IF(AND(ISNUMBER(F809),ISNUMBER(J809)),ROUND(F809*J809,0),IF(ISNUMBER(I809),I809,""))</f>
        <v/>
      </c>
      <c r="L809" s="33" t="n"/>
      <c r="M809" s="34">
        <f>IF(COUNTA(A809:B809,D809:I809,L809)=0,"",IF(B809="","案件番号がありません",IF(ISNA(MATCH(B809,'案件'!$A$6:$A$105,0)),"案件シートに無い番号です",IF(NOT(OR(D809="材料費",D809="労務費",D809="外注費",D809="経費")),"費目を4つから選んでください",IF(K809="",IF(AND(ISNUMBER(F809),NOT(ISNUMBER(J809))),IF(D809="労務費","単価がありません（設定の作業者名と同じ書き方に）","単価がありません"),IF(AND(ISNUMBER(J809),NOT(ISNUMBER(F809))),"数量がありません","金額がありません")),IF(NOT(ISNUMBER(A809)),"日付がありません（月別集計に入りません）",IF(AND(ISNUMBER(F809),ISNUMBER(J809),ISNUMBER(I809)),"数量×単価を使いました（金額の欄は使っていません）","")))))))</f>
        <v/>
      </c>
      <c r="N809" s="91">
        <f>IF(AND(B809&lt;&gt;"",B809='案件カード'!$C$3),COUNTIF($B$5:B809,'案件カード'!$C$3),"")</f>
        <v/>
      </c>
      <c r="O809" s="91">
        <f>IF(ISNUMBER(K809),IF(B809="",K809,IF(AND(ISNUMBER(MATCH(B809,'案件'!$A$6:$A$105,0)),OR(D809="材料費",D809="労務費",D809="外注費",D809="経費")),0,K809)),0)</f>
        <v/>
      </c>
    </row>
    <row r="810" ht="16" customHeight="1">
      <c r="A810" s="35" t="n"/>
      <c r="B810" s="36" t="n"/>
      <c r="C810" s="37">
        <f>IF(B810="","",IFERROR(INDEX('案件'!$B$6:$B$105,MATCH(B810,'案件'!$A$6:$A$105,0))&amp;"","（案件シートに無い番号）"))</f>
        <v/>
      </c>
      <c r="D810" s="36" t="n"/>
      <c r="E810" s="38" t="n"/>
      <c r="F810" s="39" t="n"/>
      <c r="G810" s="36" t="n"/>
      <c r="H810" s="40" t="n"/>
      <c r="I810" s="40" t="n"/>
      <c r="J810" s="41">
        <f>IF(ISNUMBER(H810),H810,IF(AND(D810="労務費",TRIM(E810)&lt;&gt;""),IFERROR(INDEX('設定'!$G$12:$G$31,MATCH(TRIM(E810),'設定'!$J$12:$J$31,0)),""),""))</f>
        <v/>
      </c>
      <c r="K810" s="30">
        <f>IF(AND(ISNUMBER(F810),ISNUMBER(J810)),ROUND(F810*J810,0),IF(ISNUMBER(I810),I810,""))</f>
        <v/>
      </c>
      <c r="L810" s="33" t="n"/>
      <c r="M810" s="34">
        <f>IF(COUNTA(A810:B810,D810:I810,L810)=0,"",IF(B810="","案件番号がありません",IF(ISNA(MATCH(B810,'案件'!$A$6:$A$105,0)),"案件シートに無い番号です",IF(NOT(OR(D810="材料費",D810="労務費",D810="外注費",D810="経費")),"費目を4つから選んでください",IF(K810="",IF(AND(ISNUMBER(F810),NOT(ISNUMBER(J810))),IF(D810="労務費","単価がありません（設定の作業者名と同じ書き方に）","単価がありません"),IF(AND(ISNUMBER(J810),NOT(ISNUMBER(F810))),"数量がありません","金額がありません")),IF(NOT(ISNUMBER(A810)),"日付がありません（月別集計に入りません）",IF(AND(ISNUMBER(F810),ISNUMBER(J810),ISNUMBER(I810)),"数量×単価を使いました（金額の欄は使っていません）","")))))))</f>
        <v/>
      </c>
      <c r="N810" s="91">
        <f>IF(AND(B810&lt;&gt;"",B810='案件カード'!$C$3),COUNTIF($B$5:B810,'案件カード'!$C$3),"")</f>
        <v/>
      </c>
      <c r="O810" s="91">
        <f>IF(ISNUMBER(K810),IF(B810="",K810,IF(AND(ISNUMBER(MATCH(B810,'案件'!$A$6:$A$105,0)),OR(D810="材料費",D810="労務費",D810="外注費",D810="経費")),0,K810)),0)</f>
        <v/>
      </c>
    </row>
    <row r="811" ht="16" customHeight="1">
      <c r="A811" s="35" t="n"/>
      <c r="B811" s="36" t="n"/>
      <c r="C811" s="37">
        <f>IF(B811="","",IFERROR(INDEX('案件'!$B$6:$B$105,MATCH(B811,'案件'!$A$6:$A$105,0))&amp;"","（案件シートに無い番号）"))</f>
        <v/>
      </c>
      <c r="D811" s="36" t="n"/>
      <c r="E811" s="38" t="n"/>
      <c r="F811" s="39" t="n"/>
      <c r="G811" s="36" t="n"/>
      <c r="H811" s="40" t="n"/>
      <c r="I811" s="40" t="n"/>
      <c r="J811" s="41">
        <f>IF(ISNUMBER(H811),H811,IF(AND(D811="労務費",TRIM(E811)&lt;&gt;""),IFERROR(INDEX('設定'!$G$12:$G$31,MATCH(TRIM(E811),'設定'!$J$12:$J$31,0)),""),""))</f>
        <v/>
      </c>
      <c r="K811" s="30">
        <f>IF(AND(ISNUMBER(F811),ISNUMBER(J811)),ROUND(F811*J811,0),IF(ISNUMBER(I811),I811,""))</f>
        <v/>
      </c>
      <c r="L811" s="33" t="n"/>
      <c r="M811" s="34">
        <f>IF(COUNTA(A811:B811,D811:I811,L811)=0,"",IF(B811="","案件番号がありません",IF(ISNA(MATCH(B811,'案件'!$A$6:$A$105,0)),"案件シートに無い番号です",IF(NOT(OR(D811="材料費",D811="労務費",D811="外注費",D811="経費")),"費目を4つから選んでください",IF(K811="",IF(AND(ISNUMBER(F811),NOT(ISNUMBER(J811))),IF(D811="労務費","単価がありません（設定の作業者名と同じ書き方に）","単価がありません"),IF(AND(ISNUMBER(J811),NOT(ISNUMBER(F811))),"数量がありません","金額がありません")),IF(NOT(ISNUMBER(A811)),"日付がありません（月別集計に入りません）",IF(AND(ISNUMBER(F811),ISNUMBER(J811),ISNUMBER(I811)),"数量×単価を使いました（金額の欄は使っていません）","")))))))</f>
        <v/>
      </c>
      <c r="N811" s="91">
        <f>IF(AND(B811&lt;&gt;"",B811='案件カード'!$C$3),COUNTIF($B$5:B811,'案件カード'!$C$3),"")</f>
        <v/>
      </c>
      <c r="O811" s="91">
        <f>IF(ISNUMBER(K811),IF(B811="",K811,IF(AND(ISNUMBER(MATCH(B811,'案件'!$A$6:$A$105,0)),OR(D811="材料費",D811="労務費",D811="外注費",D811="経費")),0,K811)),0)</f>
        <v/>
      </c>
    </row>
    <row r="812" ht="16" customHeight="1">
      <c r="A812" s="35" t="n"/>
      <c r="B812" s="36" t="n"/>
      <c r="C812" s="37">
        <f>IF(B812="","",IFERROR(INDEX('案件'!$B$6:$B$105,MATCH(B812,'案件'!$A$6:$A$105,0))&amp;"","（案件シートに無い番号）"))</f>
        <v/>
      </c>
      <c r="D812" s="36" t="n"/>
      <c r="E812" s="38" t="n"/>
      <c r="F812" s="39" t="n"/>
      <c r="G812" s="36" t="n"/>
      <c r="H812" s="40" t="n"/>
      <c r="I812" s="40" t="n"/>
      <c r="J812" s="41">
        <f>IF(ISNUMBER(H812),H812,IF(AND(D812="労務費",TRIM(E812)&lt;&gt;""),IFERROR(INDEX('設定'!$G$12:$G$31,MATCH(TRIM(E812),'設定'!$J$12:$J$31,0)),""),""))</f>
        <v/>
      </c>
      <c r="K812" s="30">
        <f>IF(AND(ISNUMBER(F812),ISNUMBER(J812)),ROUND(F812*J812,0),IF(ISNUMBER(I812),I812,""))</f>
        <v/>
      </c>
      <c r="L812" s="33" t="n"/>
      <c r="M812" s="34">
        <f>IF(COUNTA(A812:B812,D812:I812,L812)=0,"",IF(B812="","案件番号がありません",IF(ISNA(MATCH(B812,'案件'!$A$6:$A$105,0)),"案件シートに無い番号です",IF(NOT(OR(D812="材料費",D812="労務費",D812="外注費",D812="経費")),"費目を4つから選んでください",IF(K812="",IF(AND(ISNUMBER(F812),NOT(ISNUMBER(J812))),IF(D812="労務費","単価がありません（設定の作業者名と同じ書き方に）","単価がありません"),IF(AND(ISNUMBER(J812),NOT(ISNUMBER(F812))),"数量がありません","金額がありません")),IF(NOT(ISNUMBER(A812)),"日付がありません（月別集計に入りません）",IF(AND(ISNUMBER(F812),ISNUMBER(J812),ISNUMBER(I812)),"数量×単価を使いました（金額の欄は使っていません）","")))))))</f>
        <v/>
      </c>
      <c r="N812" s="91">
        <f>IF(AND(B812&lt;&gt;"",B812='案件カード'!$C$3),COUNTIF($B$5:B812,'案件カード'!$C$3),"")</f>
        <v/>
      </c>
      <c r="O812" s="91">
        <f>IF(ISNUMBER(K812),IF(B812="",K812,IF(AND(ISNUMBER(MATCH(B812,'案件'!$A$6:$A$105,0)),OR(D812="材料費",D812="労務費",D812="外注費",D812="経費")),0,K812)),0)</f>
        <v/>
      </c>
    </row>
    <row r="813" ht="16" customHeight="1">
      <c r="A813" s="35" t="n"/>
      <c r="B813" s="36" t="n"/>
      <c r="C813" s="37">
        <f>IF(B813="","",IFERROR(INDEX('案件'!$B$6:$B$105,MATCH(B813,'案件'!$A$6:$A$105,0))&amp;"","（案件シートに無い番号）"))</f>
        <v/>
      </c>
      <c r="D813" s="36" t="n"/>
      <c r="E813" s="38" t="n"/>
      <c r="F813" s="39" t="n"/>
      <c r="G813" s="36" t="n"/>
      <c r="H813" s="40" t="n"/>
      <c r="I813" s="40" t="n"/>
      <c r="J813" s="41">
        <f>IF(ISNUMBER(H813),H813,IF(AND(D813="労務費",TRIM(E813)&lt;&gt;""),IFERROR(INDEX('設定'!$G$12:$G$31,MATCH(TRIM(E813),'設定'!$J$12:$J$31,0)),""),""))</f>
        <v/>
      </c>
      <c r="K813" s="30">
        <f>IF(AND(ISNUMBER(F813),ISNUMBER(J813)),ROUND(F813*J813,0),IF(ISNUMBER(I813),I813,""))</f>
        <v/>
      </c>
      <c r="L813" s="33" t="n"/>
      <c r="M813" s="34">
        <f>IF(COUNTA(A813:B813,D813:I813,L813)=0,"",IF(B813="","案件番号がありません",IF(ISNA(MATCH(B813,'案件'!$A$6:$A$105,0)),"案件シートに無い番号です",IF(NOT(OR(D813="材料費",D813="労務費",D813="外注費",D813="経費")),"費目を4つから選んでください",IF(K813="",IF(AND(ISNUMBER(F813),NOT(ISNUMBER(J813))),IF(D813="労務費","単価がありません（設定の作業者名と同じ書き方に）","単価がありません"),IF(AND(ISNUMBER(J813),NOT(ISNUMBER(F813))),"数量がありません","金額がありません")),IF(NOT(ISNUMBER(A813)),"日付がありません（月別集計に入りません）",IF(AND(ISNUMBER(F813),ISNUMBER(J813),ISNUMBER(I813)),"数量×単価を使いました（金額の欄は使っていません）","")))))))</f>
        <v/>
      </c>
      <c r="N813" s="91">
        <f>IF(AND(B813&lt;&gt;"",B813='案件カード'!$C$3),COUNTIF($B$5:B813,'案件カード'!$C$3),"")</f>
        <v/>
      </c>
      <c r="O813" s="91">
        <f>IF(ISNUMBER(K813),IF(B813="",K813,IF(AND(ISNUMBER(MATCH(B813,'案件'!$A$6:$A$105,0)),OR(D813="材料費",D813="労務費",D813="外注費",D813="経費")),0,K813)),0)</f>
        <v/>
      </c>
    </row>
    <row r="814" ht="16" customHeight="1">
      <c r="A814" s="35" t="n"/>
      <c r="B814" s="36" t="n"/>
      <c r="C814" s="37">
        <f>IF(B814="","",IFERROR(INDEX('案件'!$B$6:$B$105,MATCH(B814,'案件'!$A$6:$A$105,0))&amp;"","（案件シートに無い番号）"))</f>
        <v/>
      </c>
      <c r="D814" s="36" t="n"/>
      <c r="E814" s="38" t="n"/>
      <c r="F814" s="39" t="n"/>
      <c r="G814" s="36" t="n"/>
      <c r="H814" s="40" t="n"/>
      <c r="I814" s="40" t="n"/>
      <c r="J814" s="41">
        <f>IF(ISNUMBER(H814),H814,IF(AND(D814="労務費",TRIM(E814)&lt;&gt;""),IFERROR(INDEX('設定'!$G$12:$G$31,MATCH(TRIM(E814),'設定'!$J$12:$J$31,0)),""),""))</f>
        <v/>
      </c>
      <c r="K814" s="30">
        <f>IF(AND(ISNUMBER(F814),ISNUMBER(J814)),ROUND(F814*J814,0),IF(ISNUMBER(I814),I814,""))</f>
        <v/>
      </c>
      <c r="L814" s="33" t="n"/>
      <c r="M814" s="34">
        <f>IF(COUNTA(A814:B814,D814:I814,L814)=0,"",IF(B814="","案件番号がありません",IF(ISNA(MATCH(B814,'案件'!$A$6:$A$105,0)),"案件シートに無い番号です",IF(NOT(OR(D814="材料費",D814="労務費",D814="外注費",D814="経費")),"費目を4つから選んでください",IF(K814="",IF(AND(ISNUMBER(F814),NOT(ISNUMBER(J814))),IF(D814="労務費","単価がありません（設定の作業者名と同じ書き方に）","単価がありません"),IF(AND(ISNUMBER(J814),NOT(ISNUMBER(F814))),"数量がありません","金額がありません")),IF(NOT(ISNUMBER(A814)),"日付がありません（月別集計に入りません）",IF(AND(ISNUMBER(F814),ISNUMBER(J814),ISNUMBER(I814)),"数量×単価を使いました（金額の欄は使っていません）","")))))))</f>
        <v/>
      </c>
      <c r="N814" s="91">
        <f>IF(AND(B814&lt;&gt;"",B814='案件カード'!$C$3),COUNTIF($B$5:B814,'案件カード'!$C$3),"")</f>
        <v/>
      </c>
      <c r="O814" s="91">
        <f>IF(ISNUMBER(K814),IF(B814="",K814,IF(AND(ISNUMBER(MATCH(B814,'案件'!$A$6:$A$105,0)),OR(D814="材料費",D814="労務費",D814="外注費",D814="経費")),0,K814)),0)</f>
        <v/>
      </c>
    </row>
    <row r="815" ht="16" customHeight="1">
      <c r="A815" s="35" t="n"/>
      <c r="B815" s="36" t="n"/>
      <c r="C815" s="37">
        <f>IF(B815="","",IFERROR(INDEX('案件'!$B$6:$B$105,MATCH(B815,'案件'!$A$6:$A$105,0))&amp;"","（案件シートに無い番号）"))</f>
        <v/>
      </c>
      <c r="D815" s="36" t="n"/>
      <c r="E815" s="38" t="n"/>
      <c r="F815" s="39" t="n"/>
      <c r="G815" s="36" t="n"/>
      <c r="H815" s="40" t="n"/>
      <c r="I815" s="40" t="n"/>
      <c r="J815" s="41">
        <f>IF(ISNUMBER(H815),H815,IF(AND(D815="労務費",TRIM(E815)&lt;&gt;""),IFERROR(INDEX('設定'!$G$12:$G$31,MATCH(TRIM(E815),'設定'!$J$12:$J$31,0)),""),""))</f>
        <v/>
      </c>
      <c r="K815" s="30">
        <f>IF(AND(ISNUMBER(F815),ISNUMBER(J815)),ROUND(F815*J815,0),IF(ISNUMBER(I815),I815,""))</f>
        <v/>
      </c>
      <c r="L815" s="33" t="n"/>
      <c r="M815" s="34">
        <f>IF(COUNTA(A815:B815,D815:I815,L815)=0,"",IF(B815="","案件番号がありません",IF(ISNA(MATCH(B815,'案件'!$A$6:$A$105,0)),"案件シートに無い番号です",IF(NOT(OR(D815="材料費",D815="労務費",D815="外注費",D815="経費")),"費目を4つから選んでください",IF(K815="",IF(AND(ISNUMBER(F815),NOT(ISNUMBER(J815))),IF(D815="労務費","単価がありません（設定の作業者名と同じ書き方に）","単価がありません"),IF(AND(ISNUMBER(J815),NOT(ISNUMBER(F815))),"数量がありません","金額がありません")),IF(NOT(ISNUMBER(A815)),"日付がありません（月別集計に入りません）",IF(AND(ISNUMBER(F815),ISNUMBER(J815),ISNUMBER(I815)),"数量×単価を使いました（金額の欄は使っていません）","")))))))</f>
        <v/>
      </c>
      <c r="N815" s="91">
        <f>IF(AND(B815&lt;&gt;"",B815='案件カード'!$C$3),COUNTIF($B$5:B815,'案件カード'!$C$3),"")</f>
        <v/>
      </c>
      <c r="O815" s="91">
        <f>IF(ISNUMBER(K815),IF(B815="",K815,IF(AND(ISNUMBER(MATCH(B815,'案件'!$A$6:$A$105,0)),OR(D815="材料費",D815="労務費",D815="外注費",D815="経費")),0,K815)),0)</f>
        <v/>
      </c>
    </row>
    <row r="816" ht="16" customHeight="1">
      <c r="A816" s="35" t="n"/>
      <c r="B816" s="36" t="n"/>
      <c r="C816" s="37">
        <f>IF(B816="","",IFERROR(INDEX('案件'!$B$6:$B$105,MATCH(B816,'案件'!$A$6:$A$105,0))&amp;"","（案件シートに無い番号）"))</f>
        <v/>
      </c>
      <c r="D816" s="36" t="n"/>
      <c r="E816" s="38" t="n"/>
      <c r="F816" s="39" t="n"/>
      <c r="G816" s="36" t="n"/>
      <c r="H816" s="40" t="n"/>
      <c r="I816" s="40" t="n"/>
      <c r="J816" s="41">
        <f>IF(ISNUMBER(H816),H816,IF(AND(D816="労務費",TRIM(E816)&lt;&gt;""),IFERROR(INDEX('設定'!$G$12:$G$31,MATCH(TRIM(E816),'設定'!$J$12:$J$31,0)),""),""))</f>
        <v/>
      </c>
      <c r="K816" s="30">
        <f>IF(AND(ISNUMBER(F816),ISNUMBER(J816)),ROUND(F816*J816,0),IF(ISNUMBER(I816),I816,""))</f>
        <v/>
      </c>
      <c r="L816" s="33" t="n"/>
      <c r="M816" s="34">
        <f>IF(COUNTA(A816:B816,D816:I816,L816)=0,"",IF(B816="","案件番号がありません",IF(ISNA(MATCH(B816,'案件'!$A$6:$A$105,0)),"案件シートに無い番号です",IF(NOT(OR(D816="材料費",D816="労務費",D816="外注費",D816="経費")),"費目を4つから選んでください",IF(K816="",IF(AND(ISNUMBER(F816),NOT(ISNUMBER(J816))),IF(D816="労務費","単価がありません（設定の作業者名と同じ書き方に）","単価がありません"),IF(AND(ISNUMBER(J816),NOT(ISNUMBER(F816))),"数量がありません","金額がありません")),IF(NOT(ISNUMBER(A816)),"日付がありません（月別集計に入りません）",IF(AND(ISNUMBER(F816),ISNUMBER(J816),ISNUMBER(I816)),"数量×単価を使いました（金額の欄は使っていません）","")))))))</f>
        <v/>
      </c>
      <c r="N816" s="91">
        <f>IF(AND(B816&lt;&gt;"",B816='案件カード'!$C$3),COUNTIF($B$5:B816,'案件カード'!$C$3),"")</f>
        <v/>
      </c>
      <c r="O816" s="91">
        <f>IF(ISNUMBER(K816),IF(B816="",K816,IF(AND(ISNUMBER(MATCH(B816,'案件'!$A$6:$A$105,0)),OR(D816="材料費",D816="労務費",D816="外注費",D816="経費")),0,K816)),0)</f>
        <v/>
      </c>
    </row>
    <row r="817" ht="16" customHeight="1">
      <c r="A817" s="35" t="n"/>
      <c r="B817" s="36" t="n"/>
      <c r="C817" s="37">
        <f>IF(B817="","",IFERROR(INDEX('案件'!$B$6:$B$105,MATCH(B817,'案件'!$A$6:$A$105,0))&amp;"","（案件シートに無い番号）"))</f>
        <v/>
      </c>
      <c r="D817" s="36" t="n"/>
      <c r="E817" s="38" t="n"/>
      <c r="F817" s="39" t="n"/>
      <c r="G817" s="36" t="n"/>
      <c r="H817" s="40" t="n"/>
      <c r="I817" s="40" t="n"/>
      <c r="J817" s="41">
        <f>IF(ISNUMBER(H817),H817,IF(AND(D817="労務費",TRIM(E817)&lt;&gt;""),IFERROR(INDEX('設定'!$G$12:$G$31,MATCH(TRIM(E817),'設定'!$J$12:$J$31,0)),""),""))</f>
        <v/>
      </c>
      <c r="K817" s="30">
        <f>IF(AND(ISNUMBER(F817),ISNUMBER(J817)),ROUND(F817*J817,0),IF(ISNUMBER(I817),I817,""))</f>
        <v/>
      </c>
      <c r="L817" s="33" t="n"/>
      <c r="M817" s="34">
        <f>IF(COUNTA(A817:B817,D817:I817,L817)=0,"",IF(B817="","案件番号がありません",IF(ISNA(MATCH(B817,'案件'!$A$6:$A$105,0)),"案件シートに無い番号です",IF(NOT(OR(D817="材料費",D817="労務費",D817="外注費",D817="経費")),"費目を4つから選んでください",IF(K817="",IF(AND(ISNUMBER(F817),NOT(ISNUMBER(J817))),IF(D817="労務費","単価がありません（設定の作業者名と同じ書き方に）","単価がありません"),IF(AND(ISNUMBER(J817),NOT(ISNUMBER(F817))),"数量がありません","金額がありません")),IF(NOT(ISNUMBER(A817)),"日付がありません（月別集計に入りません）",IF(AND(ISNUMBER(F817),ISNUMBER(J817),ISNUMBER(I817)),"数量×単価を使いました（金額の欄は使っていません）","")))))))</f>
        <v/>
      </c>
      <c r="N817" s="91">
        <f>IF(AND(B817&lt;&gt;"",B817='案件カード'!$C$3),COUNTIF($B$5:B817,'案件カード'!$C$3),"")</f>
        <v/>
      </c>
      <c r="O817" s="91">
        <f>IF(ISNUMBER(K817),IF(B817="",K817,IF(AND(ISNUMBER(MATCH(B817,'案件'!$A$6:$A$105,0)),OR(D817="材料費",D817="労務費",D817="外注費",D817="経費")),0,K817)),0)</f>
        <v/>
      </c>
    </row>
    <row r="818" ht="16" customHeight="1">
      <c r="A818" s="35" t="n"/>
      <c r="B818" s="36" t="n"/>
      <c r="C818" s="37">
        <f>IF(B818="","",IFERROR(INDEX('案件'!$B$6:$B$105,MATCH(B818,'案件'!$A$6:$A$105,0))&amp;"","（案件シートに無い番号）"))</f>
        <v/>
      </c>
      <c r="D818" s="36" t="n"/>
      <c r="E818" s="38" t="n"/>
      <c r="F818" s="39" t="n"/>
      <c r="G818" s="36" t="n"/>
      <c r="H818" s="40" t="n"/>
      <c r="I818" s="40" t="n"/>
      <c r="J818" s="41">
        <f>IF(ISNUMBER(H818),H818,IF(AND(D818="労務費",TRIM(E818)&lt;&gt;""),IFERROR(INDEX('設定'!$G$12:$G$31,MATCH(TRIM(E818),'設定'!$J$12:$J$31,0)),""),""))</f>
        <v/>
      </c>
      <c r="K818" s="30">
        <f>IF(AND(ISNUMBER(F818),ISNUMBER(J818)),ROUND(F818*J818,0),IF(ISNUMBER(I818),I818,""))</f>
        <v/>
      </c>
      <c r="L818" s="33" t="n"/>
      <c r="M818" s="34">
        <f>IF(COUNTA(A818:B818,D818:I818,L818)=0,"",IF(B818="","案件番号がありません",IF(ISNA(MATCH(B818,'案件'!$A$6:$A$105,0)),"案件シートに無い番号です",IF(NOT(OR(D818="材料費",D818="労務費",D818="外注費",D818="経費")),"費目を4つから選んでください",IF(K818="",IF(AND(ISNUMBER(F818),NOT(ISNUMBER(J818))),IF(D818="労務費","単価がありません（設定の作業者名と同じ書き方に）","単価がありません"),IF(AND(ISNUMBER(J818),NOT(ISNUMBER(F818))),"数量がありません","金額がありません")),IF(NOT(ISNUMBER(A818)),"日付がありません（月別集計に入りません）",IF(AND(ISNUMBER(F818),ISNUMBER(J818),ISNUMBER(I818)),"数量×単価を使いました（金額の欄は使っていません）","")))))))</f>
        <v/>
      </c>
      <c r="N818" s="91">
        <f>IF(AND(B818&lt;&gt;"",B818='案件カード'!$C$3),COUNTIF($B$5:B818,'案件カード'!$C$3),"")</f>
        <v/>
      </c>
      <c r="O818" s="91">
        <f>IF(ISNUMBER(K818),IF(B818="",K818,IF(AND(ISNUMBER(MATCH(B818,'案件'!$A$6:$A$105,0)),OR(D818="材料費",D818="労務費",D818="外注費",D818="経費")),0,K818)),0)</f>
        <v/>
      </c>
    </row>
    <row r="819" ht="16" customHeight="1">
      <c r="A819" s="35" t="n"/>
      <c r="B819" s="36" t="n"/>
      <c r="C819" s="37">
        <f>IF(B819="","",IFERROR(INDEX('案件'!$B$6:$B$105,MATCH(B819,'案件'!$A$6:$A$105,0))&amp;"","（案件シートに無い番号）"))</f>
        <v/>
      </c>
      <c r="D819" s="36" t="n"/>
      <c r="E819" s="38" t="n"/>
      <c r="F819" s="39" t="n"/>
      <c r="G819" s="36" t="n"/>
      <c r="H819" s="40" t="n"/>
      <c r="I819" s="40" t="n"/>
      <c r="J819" s="41">
        <f>IF(ISNUMBER(H819),H819,IF(AND(D819="労務費",TRIM(E819)&lt;&gt;""),IFERROR(INDEX('設定'!$G$12:$G$31,MATCH(TRIM(E819),'設定'!$J$12:$J$31,0)),""),""))</f>
        <v/>
      </c>
      <c r="K819" s="30">
        <f>IF(AND(ISNUMBER(F819),ISNUMBER(J819)),ROUND(F819*J819,0),IF(ISNUMBER(I819),I819,""))</f>
        <v/>
      </c>
      <c r="L819" s="33" t="n"/>
      <c r="M819" s="34">
        <f>IF(COUNTA(A819:B819,D819:I819,L819)=0,"",IF(B819="","案件番号がありません",IF(ISNA(MATCH(B819,'案件'!$A$6:$A$105,0)),"案件シートに無い番号です",IF(NOT(OR(D819="材料費",D819="労務費",D819="外注費",D819="経費")),"費目を4つから選んでください",IF(K819="",IF(AND(ISNUMBER(F819),NOT(ISNUMBER(J819))),IF(D819="労務費","単価がありません（設定の作業者名と同じ書き方に）","単価がありません"),IF(AND(ISNUMBER(J819),NOT(ISNUMBER(F819))),"数量がありません","金額がありません")),IF(NOT(ISNUMBER(A819)),"日付がありません（月別集計に入りません）",IF(AND(ISNUMBER(F819),ISNUMBER(J819),ISNUMBER(I819)),"数量×単価を使いました（金額の欄は使っていません）","")))))))</f>
        <v/>
      </c>
      <c r="N819" s="91">
        <f>IF(AND(B819&lt;&gt;"",B819='案件カード'!$C$3),COUNTIF($B$5:B819,'案件カード'!$C$3),"")</f>
        <v/>
      </c>
      <c r="O819" s="91">
        <f>IF(ISNUMBER(K819),IF(B819="",K819,IF(AND(ISNUMBER(MATCH(B819,'案件'!$A$6:$A$105,0)),OR(D819="材料費",D819="労務費",D819="外注費",D819="経費")),0,K819)),0)</f>
        <v/>
      </c>
    </row>
    <row r="820" ht="16" customHeight="1">
      <c r="A820" s="35" t="n"/>
      <c r="B820" s="36" t="n"/>
      <c r="C820" s="37">
        <f>IF(B820="","",IFERROR(INDEX('案件'!$B$6:$B$105,MATCH(B820,'案件'!$A$6:$A$105,0))&amp;"","（案件シートに無い番号）"))</f>
        <v/>
      </c>
      <c r="D820" s="36" t="n"/>
      <c r="E820" s="38" t="n"/>
      <c r="F820" s="39" t="n"/>
      <c r="G820" s="36" t="n"/>
      <c r="H820" s="40" t="n"/>
      <c r="I820" s="40" t="n"/>
      <c r="J820" s="41">
        <f>IF(ISNUMBER(H820),H820,IF(AND(D820="労務費",TRIM(E820)&lt;&gt;""),IFERROR(INDEX('設定'!$G$12:$G$31,MATCH(TRIM(E820),'設定'!$J$12:$J$31,0)),""),""))</f>
        <v/>
      </c>
      <c r="K820" s="30">
        <f>IF(AND(ISNUMBER(F820),ISNUMBER(J820)),ROUND(F820*J820,0),IF(ISNUMBER(I820),I820,""))</f>
        <v/>
      </c>
      <c r="L820" s="33" t="n"/>
      <c r="M820" s="34">
        <f>IF(COUNTA(A820:B820,D820:I820,L820)=0,"",IF(B820="","案件番号がありません",IF(ISNA(MATCH(B820,'案件'!$A$6:$A$105,0)),"案件シートに無い番号です",IF(NOT(OR(D820="材料費",D820="労務費",D820="外注費",D820="経費")),"費目を4つから選んでください",IF(K820="",IF(AND(ISNUMBER(F820),NOT(ISNUMBER(J820))),IF(D820="労務費","単価がありません（設定の作業者名と同じ書き方に）","単価がありません"),IF(AND(ISNUMBER(J820),NOT(ISNUMBER(F820))),"数量がありません","金額がありません")),IF(NOT(ISNUMBER(A820)),"日付がありません（月別集計に入りません）",IF(AND(ISNUMBER(F820),ISNUMBER(J820),ISNUMBER(I820)),"数量×単価を使いました（金額の欄は使っていません）","")))))))</f>
        <v/>
      </c>
      <c r="N820" s="91">
        <f>IF(AND(B820&lt;&gt;"",B820='案件カード'!$C$3),COUNTIF($B$5:B820,'案件カード'!$C$3),"")</f>
        <v/>
      </c>
      <c r="O820" s="91">
        <f>IF(ISNUMBER(K820),IF(B820="",K820,IF(AND(ISNUMBER(MATCH(B820,'案件'!$A$6:$A$105,0)),OR(D820="材料費",D820="労務費",D820="外注費",D820="経費")),0,K820)),0)</f>
        <v/>
      </c>
    </row>
    <row r="821" ht="16" customHeight="1">
      <c r="A821" s="35" t="n"/>
      <c r="B821" s="36" t="n"/>
      <c r="C821" s="37">
        <f>IF(B821="","",IFERROR(INDEX('案件'!$B$6:$B$105,MATCH(B821,'案件'!$A$6:$A$105,0))&amp;"","（案件シートに無い番号）"))</f>
        <v/>
      </c>
      <c r="D821" s="36" t="n"/>
      <c r="E821" s="38" t="n"/>
      <c r="F821" s="39" t="n"/>
      <c r="G821" s="36" t="n"/>
      <c r="H821" s="40" t="n"/>
      <c r="I821" s="40" t="n"/>
      <c r="J821" s="41">
        <f>IF(ISNUMBER(H821),H821,IF(AND(D821="労務費",TRIM(E821)&lt;&gt;""),IFERROR(INDEX('設定'!$G$12:$G$31,MATCH(TRIM(E821),'設定'!$J$12:$J$31,0)),""),""))</f>
        <v/>
      </c>
      <c r="K821" s="30">
        <f>IF(AND(ISNUMBER(F821),ISNUMBER(J821)),ROUND(F821*J821,0),IF(ISNUMBER(I821),I821,""))</f>
        <v/>
      </c>
      <c r="L821" s="33" t="n"/>
      <c r="M821" s="34">
        <f>IF(COUNTA(A821:B821,D821:I821,L821)=0,"",IF(B821="","案件番号がありません",IF(ISNA(MATCH(B821,'案件'!$A$6:$A$105,0)),"案件シートに無い番号です",IF(NOT(OR(D821="材料費",D821="労務費",D821="外注費",D821="経費")),"費目を4つから選んでください",IF(K821="",IF(AND(ISNUMBER(F821),NOT(ISNUMBER(J821))),IF(D821="労務費","単価がありません（設定の作業者名と同じ書き方に）","単価がありません"),IF(AND(ISNUMBER(J821),NOT(ISNUMBER(F821))),"数量がありません","金額がありません")),IF(NOT(ISNUMBER(A821)),"日付がありません（月別集計に入りません）",IF(AND(ISNUMBER(F821),ISNUMBER(J821),ISNUMBER(I821)),"数量×単価を使いました（金額の欄は使っていません）","")))))))</f>
        <v/>
      </c>
      <c r="N821" s="91">
        <f>IF(AND(B821&lt;&gt;"",B821='案件カード'!$C$3),COUNTIF($B$5:B821,'案件カード'!$C$3),"")</f>
        <v/>
      </c>
      <c r="O821" s="91">
        <f>IF(ISNUMBER(K821),IF(B821="",K821,IF(AND(ISNUMBER(MATCH(B821,'案件'!$A$6:$A$105,0)),OR(D821="材料費",D821="労務費",D821="外注費",D821="経費")),0,K821)),0)</f>
        <v/>
      </c>
    </row>
    <row r="822" ht="16" customHeight="1">
      <c r="A822" s="35" t="n"/>
      <c r="B822" s="36" t="n"/>
      <c r="C822" s="37">
        <f>IF(B822="","",IFERROR(INDEX('案件'!$B$6:$B$105,MATCH(B822,'案件'!$A$6:$A$105,0))&amp;"","（案件シートに無い番号）"))</f>
        <v/>
      </c>
      <c r="D822" s="36" t="n"/>
      <c r="E822" s="38" t="n"/>
      <c r="F822" s="39" t="n"/>
      <c r="G822" s="36" t="n"/>
      <c r="H822" s="40" t="n"/>
      <c r="I822" s="40" t="n"/>
      <c r="J822" s="41">
        <f>IF(ISNUMBER(H822),H822,IF(AND(D822="労務費",TRIM(E822)&lt;&gt;""),IFERROR(INDEX('設定'!$G$12:$G$31,MATCH(TRIM(E822),'設定'!$J$12:$J$31,0)),""),""))</f>
        <v/>
      </c>
      <c r="K822" s="30">
        <f>IF(AND(ISNUMBER(F822),ISNUMBER(J822)),ROUND(F822*J822,0),IF(ISNUMBER(I822),I822,""))</f>
        <v/>
      </c>
      <c r="L822" s="33" t="n"/>
      <c r="M822" s="34">
        <f>IF(COUNTA(A822:B822,D822:I822,L822)=0,"",IF(B822="","案件番号がありません",IF(ISNA(MATCH(B822,'案件'!$A$6:$A$105,0)),"案件シートに無い番号です",IF(NOT(OR(D822="材料費",D822="労務費",D822="外注費",D822="経費")),"費目を4つから選んでください",IF(K822="",IF(AND(ISNUMBER(F822),NOT(ISNUMBER(J822))),IF(D822="労務費","単価がありません（設定の作業者名と同じ書き方に）","単価がありません"),IF(AND(ISNUMBER(J822),NOT(ISNUMBER(F822))),"数量がありません","金額がありません")),IF(NOT(ISNUMBER(A822)),"日付がありません（月別集計に入りません）",IF(AND(ISNUMBER(F822),ISNUMBER(J822),ISNUMBER(I822)),"数量×単価を使いました（金額の欄は使っていません）","")))))))</f>
        <v/>
      </c>
      <c r="N822" s="91">
        <f>IF(AND(B822&lt;&gt;"",B822='案件カード'!$C$3),COUNTIF($B$5:B822,'案件カード'!$C$3),"")</f>
        <v/>
      </c>
      <c r="O822" s="91">
        <f>IF(ISNUMBER(K822),IF(B822="",K822,IF(AND(ISNUMBER(MATCH(B822,'案件'!$A$6:$A$105,0)),OR(D822="材料費",D822="労務費",D822="外注費",D822="経費")),0,K822)),0)</f>
        <v/>
      </c>
    </row>
    <row r="823" ht="16" customHeight="1">
      <c r="A823" s="35" t="n"/>
      <c r="B823" s="36" t="n"/>
      <c r="C823" s="37">
        <f>IF(B823="","",IFERROR(INDEX('案件'!$B$6:$B$105,MATCH(B823,'案件'!$A$6:$A$105,0))&amp;"","（案件シートに無い番号）"))</f>
        <v/>
      </c>
      <c r="D823" s="36" t="n"/>
      <c r="E823" s="38" t="n"/>
      <c r="F823" s="39" t="n"/>
      <c r="G823" s="36" t="n"/>
      <c r="H823" s="40" t="n"/>
      <c r="I823" s="40" t="n"/>
      <c r="J823" s="41">
        <f>IF(ISNUMBER(H823),H823,IF(AND(D823="労務費",TRIM(E823)&lt;&gt;""),IFERROR(INDEX('設定'!$G$12:$G$31,MATCH(TRIM(E823),'設定'!$J$12:$J$31,0)),""),""))</f>
        <v/>
      </c>
      <c r="K823" s="30">
        <f>IF(AND(ISNUMBER(F823),ISNUMBER(J823)),ROUND(F823*J823,0),IF(ISNUMBER(I823),I823,""))</f>
        <v/>
      </c>
      <c r="L823" s="33" t="n"/>
      <c r="M823" s="34">
        <f>IF(COUNTA(A823:B823,D823:I823,L823)=0,"",IF(B823="","案件番号がありません",IF(ISNA(MATCH(B823,'案件'!$A$6:$A$105,0)),"案件シートに無い番号です",IF(NOT(OR(D823="材料費",D823="労務費",D823="外注費",D823="経費")),"費目を4つから選んでください",IF(K823="",IF(AND(ISNUMBER(F823),NOT(ISNUMBER(J823))),IF(D823="労務費","単価がありません（設定の作業者名と同じ書き方に）","単価がありません"),IF(AND(ISNUMBER(J823),NOT(ISNUMBER(F823))),"数量がありません","金額がありません")),IF(NOT(ISNUMBER(A823)),"日付がありません（月別集計に入りません）",IF(AND(ISNUMBER(F823),ISNUMBER(J823),ISNUMBER(I823)),"数量×単価を使いました（金額の欄は使っていません）","")))))))</f>
        <v/>
      </c>
      <c r="N823" s="91">
        <f>IF(AND(B823&lt;&gt;"",B823='案件カード'!$C$3),COUNTIF($B$5:B823,'案件カード'!$C$3),"")</f>
        <v/>
      </c>
      <c r="O823" s="91">
        <f>IF(ISNUMBER(K823),IF(B823="",K823,IF(AND(ISNUMBER(MATCH(B823,'案件'!$A$6:$A$105,0)),OR(D823="材料費",D823="労務費",D823="外注費",D823="経費")),0,K823)),0)</f>
        <v/>
      </c>
    </row>
    <row r="824" ht="16" customHeight="1">
      <c r="A824" s="35" t="n"/>
      <c r="B824" s="36" t="n"/>
      <c r="C824" s="37">
        <f>IF(B824="","",IFERROR(INDEX('案件'!$B$6:$B$105,MATCH(B824,'案件'!$A$6:$A$105,0))&amp;"","（案件シートに無い番号）"))</f>
        <v/>
      </c>
      <c r="D824" s="36" t="n"/>
      <c r="E824" s="38" t="n"/>
      <c r="F824" s="39" t="n"/>
      <c r="G824" s="36" t="n"/>
      <c r="H824" s="40" t="n"/>
      <c r="I824" s="40" t="n"/>
      <c r="J824" s="41">
        <f>IF(ISNUMBER(H824),H824,IF(AND(D824="労務費",TRIM(E824)&lt;&gt;""),IFERROR(INDEX('設定'!$G$12:$G$31,MATCH(TRIM(E824),'設定'!$J$12:$J$31,0)),""),""))</f>
        <v/>
      </c>
      <c r="K824" s="30">
        <f>IF(AND(ISNUMBER(F824),ISNUMBER(J824)),ROUND(F824*J824,0),IF(ISNUMBER(I824),I824,""))</f>
        <v/>
      </c>
      <c r="L824" s="33" t="n"/>
      <c r="M824" s="34">
        <f>IF(COUNTA(A824:B824,D824:I824,L824)=0,"",IF(B824="","案件番号がありません",IF(ISNA(MATCH(B824,'案件'!$A$6:$A$105,0)),"案件シートに無い番号です",IF(NOT(OR(D824="材料費",D824="労務費",D824="外注費",D824="経費")),"費目を4つから選んでください",IF(K824="",IF(AND(ISNUMBER(F824),NOT(ISNUMBER(J824))),IF(D824="労務費","単価がありません（設定の作業者名と同じ書き方に）","単価がありません"),IF(AND(ISNUMBER(J824),NOT(ISNUMBER(F824))),"数量がありません","金額がありません")),IF(NOT(ISNUMBER(A824)),"日付がありません（月別集計に入りません）",IF(AND(ISNUMBER(F824),ISNUMBER(J824),ISNUMBER(I824)),"数量×単価を使いました（金額の欄は使っていません）","")))))))</f>
        <v/>
      </c>
      <c r="N824" s="91">
        <f>IF(AND(B824&lt;&gt;"",B824='案件カード'!$C$3),COUNTIF($B$5:B824,'案件カード'!$C$3),"")</f>
        <v/>
      </c>
      <c r="O824" s="91">
        <f>IF(ISNUMBER(K824),IF(B824="",K824,IF(AND(ISNUMBER(MATCH(B824,'案件'!$A$6:$A$105,0)),OR(D824="材料費",D824="労務費",D824="外注費",D824="経費")),0,K824)),0)</f>
        <v/>
      </c>
    </row>
    <row r="825" ht="16" customHeight="1">
      <c r="A825" s="35" t="n"/>
      <c r="B825" s="36" t="n"/>
      <c r="C825" s="37">
        <f>IF(B825="","",IFERROR(INDEX('案件'!$B$6:$B$105,MATCH(B825,'案件'!$A$6:$A$105,0))&amp;"","（案件シートに無い番号）"))</f>
        <v/>
      </c>
      <c r="D825" s="36" t="n"/>
      <c r="E825" s="38" t="n"/>
      <c r="F825" s="39" t="n"/>
      <c r="G825" s="36" t="n"/>
      <c r="H825" s="40" t="n"/>
      <c r="I825" s="40" t="n"/>
      <c r="J825" s="41">
        <f>IF(ISNUMBER(H825),H825,IF(AND(D825="労務費",TRIM(E825)&lt;&gt;""),IFERROR(INDEX('設定'!$G$12:$G$31,MATCH(TRIM(E825),'設定'!$J$12:$J$31,0)),""),""))</f>
        <v/>
      </c>
      <c r="K825" s="30">
        <f>IF(AND(ISNUMBER(F825),ISNUMBER(J825)),ROUND(F825*J825,0),IF(ISNUMBER(I825),I825,""))</f>
        <v/>
      </c>
      <c r="L825" s="33" t="n"/>
      <c r="M825" s="34">
        <f>IF(COUNTA(A825:B825,D825:I825,L825)=0,"",IF(B825="","案件番号がありません",IF(ISNA(MATCH(B825,'案件'!$A$6:$A$105,0)),"案件シートに無い番号です",IF(NOT(OR(D825="材料費",D825="労務費",D825="外注費",D825="経費")),"費目を4つから選んでください",IF(K825="",IF(AND(ISNUMBER(F825),NOT(ISNUMBER(J825))),IF(D825="労務費","単価がありません（設定の作業者名と同じ書き方に）","単価がありません"),IF(AND(ISNUMBER(J825),NOT(ISNUMBER(F825))),"数量がありません","金額がありません")),IF(NOT(ISNUMBER(A825)),"日付がありません（月別集計に入りません）",IF(AND(ISNUMBER(F825),ISNUMBER(J825),ISNUMBER(I825)),"数量×単価を使いました（金額の欄は使っていません）","")))))))</f>
        <v/>
      </c>
      <c r="N825" s="91">
        <f>IF(AND(B825&lt;&gt;"",B825='案件カード'!$C$3),COUNTIF($B$5:B825,'案件カード'!$C$3),"")</f>
        <v/>
      </c>
      <c r="O825" s="91">
        <f>IF(ISNUMBER(K825),IF(B825="",K825,IF(AND(ISNUMBER(MATCH(B825,'案件'!$A$6:$A$105,0)),OR(D825="材料費",D825="労務費",D825="外注費",D825="経費")),0,K825)),0)</f>
        <v/>
      </c>
    </row>
    <row r="826" ht="16" customHeight="1">
      <c r="A826" s="35" t="n"/>
      <c r="B826" s="36" t="n"/>
      <c r="C826" s="37">
        <f>IF(B826="","",IFERROR(INDEX('案件'!$B$6:$B$105,MATCH(B826,'案件'!$A$6:$A$105,0))&amp;"","（案件シートに無い番号）"))</f>
        <v/>
      </c>
      <c r="D826" s="36" t="n"/>
      <c r="E826" s="38" t="n"/>
      <c r="F826" s="39" t="n"/>
      <c r="G826" s="36" t="n"/>
      <c r="H826" s="40" t="n"/>
      <c r="I826" s="40" t="n"/>
      <c r="J826" s="41">
        <f>IF(ISNUMBER(H826),H826,IF(AND(D826="労務費",TRIM(E826)&lt;&gt;""),IFERROR(INDEX('設定'!$G$12:$G$31,MATCH(TRIM(E826),'設定'!$J$12:$J$31,0)),""),""))</f>
        <v/>
      </c>
      <c r="K826" s="30">
        <f>IF(AND(ISNUMBER(F826),ISNUMBER(J826)),ROUND(F826*J826,0),IF(ISNUMBER(I826),I826,""))</f>
        <v/>
      </c>
      <c r="L826" s="33" t="n"/>
      <c r="M826" s="34">
        <f>IF(COUNTA(A826:B826,D826:I826,L826)=0,"",IF(B826="","案件番号がありません",IF(ISNA(MATCH(B826,'案件'!$A$6:$A$105,0)),"案件シートに無い番号です",IF(NOT(OR(D826="材料費",D826="労務費",D826="外注費",D826="経費")),"費目を4つから選んでください",IF(K826="",IF(AND(ISNUMBER(F826),NOT(ISNUMBER(J826))),IF(D826="労務費","単価がありません（設定の作業者名と同じ書き方に）","単価がありません"),IF(AND(ISNUMBER(J826),NOT(ISNUMBER(F826))),"数量がありません","金額がありません")),IF(NOT(ISNUMBER(A826)),"日付がありません（月別集計に入りません）",IF(AND(ISNUMBER(F826),ISNUMBER(J826),ISNUMBER(I826)),"数量×単価を使いました（金額の欄は使っていません）","")))))))</f>
        <v/>
      </c>
      <c r="N826" s="91">
        <f>IF(AND(B826&lt;&gt;"",B826='案件カード'!$C$3),COUNTIF($B$5:B826,'案件カード'!$C$3),"")</f>
        <v/>
      </c>
      <c r="O826" s="91">
        <f>IF(ISNUMBER(K826),IF(B826="",K826,IF(AND(ISNUMBER(MATCH(B826,'案件'!$A$6:$A$105,0)),OR(D826="材料費",D826="労務費",D826="外注費",D826="経費")),0,K826)),0)</f>
        <v/>
      </c>
    </row>
    <row r="827" ht="16" customHeight="1">
      <c r="A827" s="35" t="n"/>
      <c r="B827" s="36" t="n"/>
      <c r="C827" s="37">
        <f>IF(B827="","",IFERROR(INDEX('案件'!$B$6:$B$105,MATCH(B827,'案件'!$A$6:$A$105,0))&amp;"","（案件シートに無い番号）"))</f>
        <v/>
      </c>
      <c r="D827" s="36" t="n"/>
      <c r="E827" s="38" t="n"/>
      <c r="F827" s="39" t="n"/>
      <c r="G827" s="36" t="n"/>
      <c r="H827" s="40" t="n"/>
      <c r="I827" s="40" t="n"/>
      <c r="J827" s="41">
        <f>IF(ISNUMBER(H827),H827,IF(AND(D827="労務費",TRIM(E827)&lt;&gt;""),IFERROR(INDEX('設定'!$G$12:$G$31,MATCH(TRIM(E827),'設定'!$J$12:$J$31,0)),""),""))</f>
        <v/>
      </c>
      <c r="K827" s="30">
        <f>IF(AND(ISNUMBER(F827),ISNUMBER(J827)),ROUND(F827*J827,0),IF(ISNUMBER(I827),I827,""))</f>
        <v/>
      </c>
      <c r="L827" s="33" t="n"/>
      <c r="M827" s="34">
        <f>IF(COUNTA(A827:B827,D827:I827,L827)=0,"",IF(B827="","案件番号がありません",IF(ISNA(MATCH(B827,'案件'!$A$6:$A$105,0)),"案件シートに無い番号です",IF(NOT(OR(D827="材料費",D827="労務費",D827="外注費",D827="経費")),"費目を4つから選んでください",IF(K827="",IF(AND(ISNUMBER(F827),NOT(ISNUMBER(J827))),IF(D827="労務費","単価がありません（設定の作業者名と同じ書き方に）","単価がありません"),IF(AND(ISNUMBER(J827),NOT(ISNUMBER(F827))),"数量がありません","金額がありません")),IF(NOT(ISNUMBER(A827)),"日付がありません（月別集計に入りません）",IF(AND(ISNUMBER(F827),ISNUMBER(J827),ISNUMBER(I827)),"数量×単価を使いました（金額の欄は使っていません）","")))))))</f>
        <v/>
      </c>
      <c r="N827" s="91">
        <f>IF(AND(B827&lt;&gt;"",B827='案件カード'!$C$3),COUNTIF($B$5:B827,'案件カード'!$C$3),"")</f>
        <v/>
      </c>
      <c r="O827" s="91">
        <f>IF(ISNUMBER(K827),IF(B827="",K827,IF(AND(ISNUMBER(MATCH(B827,'案件'!$A$6:$A$105,0)),OR(D827="材料費",D827="労務費",D827="外注費",D827="経費")),0,K827)),0)</f>
        <v/>
      </c>
    </row>
    <row r="828" ht="16" customHeight="1">
      <c r="A828" s="35" t="n"/>
      <c r="B828" s="36" t="n"/>
      <c r="C828" s="37">
        <f>IF(B828="","",IFERROR(INDEX('案件'!$B$6:$B$105,MATCH(B828,'案件'!$A$6:$A$105,0))&amp;"","（案件シートに無い番号）"))</f>
        <v/>
      </c>
      <c r="D828" s="36" t="n"/>
      <c r="E828" s="38" t="n"/>
      <c r="F828" s="39" t="n"/>
      <c r="G828" s="36" t="n"/>
      <c r="H828" s="40" t="n"/>
      <c r="I828" s="40" t="n"/>
      <c r="J828" s="41">
        <f>IF(ISNUMBER(H828),H828,IF(AND(D828="労務費",TRIM(E828)&lt;&gt;""),IFERROR(INDEX('設定'!$G$12:$G$31,MATCH(TRIM(E828),'設定'!$J$12:$J$31,0)),""),""))</f>
        <v/>
      </c>
      <c r="K828" s="30">
        <f>IF(AND(ISNUMBER(F828),ISNUMBER(J828)),ROUND(F828*J828,0),IF(ISNUMBER(I828),I828,""))</f>
        <v/>
      </c>
      <c r="L828" s="33" t="n"/>
      <c r="M828" s="34">
        <f>IF(COUNTA(A828:B828,D828:I828,L828)=0,"",IF(B828="","案件番号がありません",IF(ISNA(MATCH(B828,'案件'!$A$6:$A$105,0)),"案件シートに無い番号です",IF(NOT(OR(D828="材料費",D828="労務費",D828="外注費",D828="経費")),"費目を4つから選んでください",IF(K828="",IF(AND(ISNUMBER(F828),NOT(ISNUMBER(J828))),IF(D828="労務費","単価がありません（設定の作業者名と同じ書き方に）","単価がありません"),IF(AND(ISNUMBER(J828),NOT(ISNUMBER(F828))),"数量がありません","金額がありません")),IF(NOT(ISNUMBER(A828)),"日付がありません（月別集計に入りません）",IF(AND(ISNUMBER(F828),ISNUMBER(J828),ISNUMBER(I828)),"数量×単価を使いました（金額の欄は使っていません）","")))))))</f>
        <v/>
      </c>
      <c r="N828" s="91">
        <f>IF(AND(B828&lt;&gt;"",B828='案件カード'!$C$3),COUNTIF($B$5:B828,'案件カード'!$C$3),"")</f>
        <v/>
      </c>
      <c r="O828" s="91">
        <f>IF(ISNUMBER(K828),IF(B828="",K828,IF(AND(ISNUMBER(MATCH(B828,'案件'!$A$6:$A$105,0)),OR(D828="材料費",D828="労務費",D828="外注費",D828="経費")),0,K828)),0)</f>
        <v/>
      </c>
    </row>
    <row r="829" ht="16" customHeight="1">
      <c r="A829" s="35" t="n"/>
      <c r="B829" s="36" t="n"/>
      <c r="C829" s="37">
        <f>IF(B829="","",IFERROR(INDEX('案件'!$B$6:$B$105,MATCH(B829,'案件'!$A$6:$A$105,0))&amp;"","（案件シートに無い番号）"))</f>
        <v/>
      </c>
      <c r="D829" s="36" t="n"/>
      <c r="E829" s="38" t="n"/>
      <c r="F829" s="39" t="n"/>
      <c r="G829" s="36" t="n"/>
      <c r="H829" s="40" t="n"/>
      <c r="I829" s="40" t="n"/>
      <c r="J829" s="41">
        <f>IF(ISNUMBER(H829),H829,IF(AND(D829="労務費",TRIM(E829)&lt;&gt;""),IFERROR(INDEX('設定'!$G$12:$G$31,MATCH(TRIM(E829),'設定'!$J$12:$J$31,0)),""),""))</f>
        <v/>
      </c>
      <c r="K829" s="30">
        <f>IF(AND(ISNUMBER(F829),ISNUMBER(J829)),ROUND(F829*J829,0),IF(ISNUMBER(I829),I829,""))</f>
        <v/>
      </c>
      <c r="L829" s="33" t="n"/>
      <c r="M829" s="34">
        <f>IF(COUNTA(A829:B829,D829:I829,L829)=0,"",IF(B829="","案件番号がありません",IF(ISNA(MATCH(B829,'案件'!$A$6:$A$105,0)),"案件シートに無い番号です",IF(NOT(OR(D829="材料費",D829="労務費",D829="外注費",D829="経費")),"費目を4つから選んでください",IF(K829="",IF(AND(ISNUMBER(F829),NOT(ISNUMBER(J829))),IF(D829="労務費","単価がありません（設定の作業者名と同じ書き方に）","単価がありません"),IF(AND(ISNUMBER(J829),NOT(ISNUMBER(F829))),"数量がありません","金額がありません")),IF(NOT(ISNUMBER(A829)),"日付がありません（月別集計に入りません）",IF(AND(ISNUMBER(F829),ISNUMBER(J829),ISNUMBER(I829)),"数量×単価を使いました（金額の欄は使っていません）","")))))))</f>
        <v/>
      </c>
      <c r="N829" s="91">
        <f>IF(AND(B829&lt;&gt;"",B829='案件カード'!$C$3),COUNTIF($B$5:B829,'案件カード'!$C$3),"")</f>
        <v/>
      </c>
      <c r="O829" s="91">
        <f>IF(ISNUMBER(K829),IF(B829="",K829,IF(AND(ISNUMBER(MATCH(B829,'案件'!$A$6:$A$105,0)),OR(D829="材料費",D829="労務費",D829="外注費",D829="経費")),0,K829)),0)</f>
        <v/>
      </c>
    </row>
    <row r="830" ht="16" customHeight="1">
      <c r="A830" s="35" t="n"/>
      <c r="B830" s="36" t="n"/>
      <c r="C830" s="37">
        <f>IF(B830="","",IFERROR(INDEX('案件'!$B$6:$B$105,MATCH(B830,'案件'!$A$6:$A$105,0))&amp;"","（案件シートに無い番号）"))</f>
        <v/>
      </c>
      <c r="D830" s="36" t="n"/>
      <c r="E830" s="38" t="n"/>
      <c r="F830" s="39" t="n"/>
      <c r="G830" s="36" t="n"/>
      <c r="H830" s="40" t="n"/>
      <c r="I830" s="40" t="n"/>
      <c r="J830" s="41">
        <f>IF(ISNUMBER(H830),H830,IF(AND(D830="労務費",TRIM(E830)&lt;&gt;""),IFERROR(INDEX('設定'!$G$12:$G$31,MATCH(TRIM(E830),'設定'!$J$12:$J$31,0)),""),""))</f>
        <v/>
      </c>
      <c r="K830" s="30">
        <f>IF(AND(ISNUMBER(F830),ISNUMBER(J830)),ROUND(F830*J830,0),IF(ISNUMBER(I830),I830,""))</f>
        <v/>
      </c>
      <c r="L830" s="33" t="n"/>
      <c r="M830" s="34">
        <f>IF(COUNTA(A830:B830,D830:I830,L830)=0,"",IF(B830="","案件番号がありません",IF(ISNA(MATCH(B830,'案件'!$A$6:$A$105,0)),"案件シートに無い番号です",IF(NOT(OR(D830="材料費",D830="労務費",D830="外注費",D830="経費")),"費目を4つから選んでください",IF(K830="",IF(AND(ISNUMBER(F830),NOT(ISNUMBER(J830))),IF(D830="労務費","単価がありません（設定の作業者名と同じ書き方に）","単価がありません"),IF(AND(ISNUMBER(J830),NOT(ISNUMBER(F830))),"数量がありません","金額がありません")),IF(NOT(ISNUMBER(A830)),"日付がありません（月別集計に入りません）",IF(AND(ISNUMBER(F830),ISNUMBER(J830),ISNUMBER(I830)),"数量×単価を使いました（金額の欄は使っていません）","")))))))</f>
        <v/>
      </c>
      <c r="N830" s="91">
        <f>IF(AND(B830&lt;&gt;"",B830='案件カード'!$C$3),COUNTIF($B$5:B830,'案件カード'!$C$3),"")</f>
        <v/>
      </c>
      <c r="O830" s="91">
        <f>IF(ISNUMBER(K830),IF(B830="",K830,IF(AND(ISNUMBER(MATCH(B830,'案件'!$A$6:$A$105,0)),OR(D830="材料費",D830="労務費",D830="外注費",D830="経費")),0,K830)),0)</f>
        <v/>
      </c>
    </row>
    <row r="831" ht="16" customHeight="1">
      <c r="A831" s="35" t="n"/>
      <c r="B831" s="36" t="n"/>
      <c r="C831" s="37">
        <f>IF(B831="","",IFERROR(INDEX('案件'!$B$6:$B$105,MATCH(B831,'案件'!$A$6:$A$105,0))&amp;"","（案件シートに無い番号）"))</f>
        <v/>
      </c>
      <c r="D831" s="36" t="n"/>
      <c r="E831" s="38" t="n"/>
      <c r="F831" s="39" t="n"/>
      <c r="G831" s="36" t="n"/>
      <c r="H831" s="40" t="n"/>
      <c r="I831" s="40" t="n"/>
      <c r="J831" s="41">
        <f>IF(ISNUMBER(H831),H831,IF(AND(D831="労務費",TRIM(E831)&lt;&gt;""),IFERROR(INDEX('設定'!$G$12:$G$31,MATCH(TRIM(E831),'設定'!$J$12:$J$31,0)),""),""))</f>
        <v/>
      </c>
      <c r="K831" s="30">
        <f>IF(AND(ISNUMBER(F831),ISNUMBER(J831)),ROUND(F831*J831,0),IF(ISNUMBER(I831),I831,""))</f>
        <v/>
      </c>
      <c r="L831" s="33" t="n"/>
      <c r="M831" s="34">
        <f>IF(COUNTA(A831:B831,D831:I831,L831)=0,"",IF(B831="","案件番号がありません",IF(ISNA(MATCH(B831,'案件'!$A$6:$A$105,0)),"案件シートに無い番号です",IF(NOT(OR(D831="材料費",D831="労務費",D831="外注費",D831="経費")),"費目を4つから選んでください",IF(K831="",IF(AND(ISNUMBER(F831),NOT(ISNUMBER(J831))),IF(D831="労務費","単価がありません（設定の作業者名と同じ書き方に）","単価がありません"),IF(AND(ISNUMBER(J831),NOT(ISNUMBER(F831))),"数量がありません","金額がありません")),IF(NOT(ISNUMBER(A831)),"日付がありません（月別集計に入りません）",IF(AND(ISNUMBER(F831),ISNUMBER(J831),ISNUMBER(I831)),"数量×単価を使いました（金額の欄は使っていません）","")))))))</f>
        <v/>
      </c>
      <c r="N831" s="91">
        <f>IF(AND(B831&lt;&gt;"",B831='案件カード'!$C$3),COUNTIF($B$5:B831,'案件カード'!$C$3),"")</f>
        <v/>
      </c>
      <c r="O831" s="91">
        <f>IF(ISNUMBER(K831),IF(B831="",K831,IF(AND(ISNUMBER(MATCH(B831,'案件'!$A$6:$A$105,0)),OR(D831="材料費",D831="労務費",D831="外注費",D831="経費")),0,K831)),0)</f>
        <v/>
      </c>
    </row>
    <row r="832" ht="16" customHeight="1">
      <c r="A832" s="35" t="n"/>
      <c r="B832" s="36" t="n"/>
      <c r="C832" s="37">
        <f>IF(B832="","",IFERROR(INDEX('案件'!$B$6:$B$105,MATCH(B832,'案件'!$A$6:$A$105,0))&amp;"","（案件シートに無い番号）"))</f>
        <v/>
      </c>
      <c r="D832" s="36" t="n"/>
      <c r="E832" s="38" t="n"/>
      <c r="F832" s="39" t="n"/>
      <c r="G832" s="36" t="n"/>
      <c r="H832" s="40" t="n"/>
      <c r="I832" s="40" t="n"/>
      <c r="J832" s="41">
        <f>IF(ISNUMBER(H832),H832,IF(AND(D832="労務費",TRIM(E832)&lt;&gt;""),IFERROR(INDEX('設定'!$G$12:$G$31,MATCH(TRIM(E832),'設定'!$J$12:$J$31,0)),""),""))</f>
        <v/>
      </c>
      <c r="K832" s="30">
        <f>IF(AND(ISNUMBER(F832),ISNUMBER(J832)),ROUND(F832*J832,0),IF(ISNUMBER(I832),I832,""))</f>
        <v/>
      </c>
      <c r="L832" s="33" t="n"/>
      <c r="M832" s="34">
        <f>IF(COUNTA(A832:B832,D832:I832,L832)=0,"",IF(B832="","案件番号がありません",IF(ISNA(MATCH(B832,'案件'!$A$6:$A$105,0)),"案件シートに無い番号です",IF(NOT(OR(D832="材料費",D832="労務費",D832="外注費",D832="経費")),"費目を4つから選んでください",IF(K832="",IF(AND(ISNUMBER(F832),NOT(ISNUMBER(J832))),IF(D832="労務費","単価がありません（設定の作業者名と同じ書き方に）","単価がありません"),IF(AND(ISNUMBER(J832),NOT(ISNUMBER(F832))),"数量がありません","金額がありません")),IF(NOT(ISNUMBER(A832)),"日付がありません（月別集計に入りません）",IF(AND(ISNUMBER(F832),ISNUMBER(J832),ISNUMBER(I832)),"数量×単価を使いました（金額の欄は使っていません）","")))))))</f>
        <v/>
      </c>
      <c r="N832" s="91">
        <f>IF(AND(B832&lt;&gt;"",B832='案件カード'!$C$3),COUNTIF($B$5:B832,'案件カード'!$C$3),"")</f>
        <v/>
      </c>
      <c r="O832" s="91">
        <f>IF(ISNUMBER(K832),IF(B832="",K832,IF(AND(ISNUMBER(MATCH(B832,'案件'!$A$6:$A$105,0)),OR(D832="材料費",D832="労務費",D832="外注費",D832="経費")),0,K832)),0)</f>
        <v/>
      </c>
    </row>
    <row r="833" ht="16" customHeight="1">
      <c r="A833" s="35" t="n"/>
      <c r="B833" s="36" t="n"/>
      <c r="C833" s="37">
        <f>IF(B833="","",IFERROR(INDEX('案件'!$B$6:$B$105,MATCH(B833,'案件'!$A$6:$A$105,0))&amp;"","（案件シートに無い番号）"))</f>
        <v/>
      </c>
      <c r="D833" s="36" t="n"/>
      <c r="E833" s="38" t="n"/>
      <c r="F833" s="39" t="n"/>
      <c r="G833" s="36" t="n"/>
      <c r="H833" s="40" t="n"/>
      <c r="I833" s="40" t="n"/>
      <c r="J833" s="41">
        <f>IF(ISNUMBER(H833),H833,IF(AND(D833="労務費",TRIM(E833)&lt;&gt;""),IFERROR(INDEX('設定'!$G$12:$G$31,MATCH(TRIM(E833),'設定'!$J$12:$J$31,0)),""),""))</f>
        <v/>
      </c>
      <c r="K833" s="30">
        <f>IF(AND(ISNUMBER(F833),ISNUMBER(J833)),ROUND(F833*J833,0),IF(ISNUMBER(I833),I833,""))</f>
        <v/>
      </c>
      <c r="L833" s="33" t="n"/>
      <c r="M833" s="34">
        <f>IF(COUNTA(A833:B833,D833:I833,L833)=0,"",IF(B833="","案件番号がありません",IF(ISNA(MATCH(B833,'案件'!$A$6:$A$105,0)),"案件シートに無い番号です",IF(NOT(OR(D833="材料費",D833="労務費",D833="外注費",D833="経費")),"費目を4つから選んでください",IF(K833="",IF(AND(ISNUMBER(F833),NOT(ISNUMBER(J833))),IF(D833="労務費","単価がありません（設定の作業者名と同じ書き方に）","単価がありません"),IF(AND(ISNUMBER(J833),NOT(ISNUMBER(F833))),"数量がありません","金額がありません")),IF(NOT(ISNUMBER(A833)),"日付がありません（月別集計に入りません）",IF(AND(ISNUMBER(F833),ISNUMBER(J833),ISNUMBER(I833)),"数量×単価を使いました（金額の欄は使っていません）","")))))))</f>
        <v/>
      </c>
      <c r="N833" s="91">
        <f>IF(AND(B833&lt;&gt;"",B833='案件カード'!$C$3),COUNTIF($B$5:B833,'案件カード'!$C$3),"")</f>
        <v/>
      </c>
      <c r="O833" s="91">
        <f>IF(ISNUMBER(K833),IF(B833="",K833,IF(AND(ISNUMBER(MATCH(B833,'案件'!$A$6:$A$105,0)),OR(D833="材料費",D833="労務費",D833="外注費",D833="経費")),0,K833)),0)</f>
        <v/>
      </c>
    </row>
    <row r="834" ht="16" customHeight="1">
      <c r="A834" s="35" t="n"/>
      <c r="B834" s="36" t="n"/>
      <c r="C834" s="37">
        <f>IF(B834="","",IFERROR(INDEX('案件'!$B$6:$B$105,MATCH(B834,'案件'!$A$6:$A$105,0))&amp;"","（案件シートに無い番号）"))</f>
        <v/>
      </c>
      <c r="D834" s="36" t="n"/>
      <c r="E834" s="38" t="n"/>
      <c r="F834" s="39" t="n"/>
      <c r="G834" s="36" t="n"/>
      <c r="H834" s="40" t="n"/>
      <c r="I834" s="40" t="n"/>
      <c r="J834" s="41">
        <f>IF(ISNUMBER(H834),H834,IF(AND(D834="労務費",TRIM(E834)&lt;&gt;""),IFERROR(INDEX('設定'!$G$12:$G$31,MATCH(TRIM(E834),'設定'!$J$12:$J$31,0)),""),""))</f>
        <v/>
      </c>
      <c r="K834" s="30">
        <f>IF(AND(ISNUMBER(F834),ISNUMBER(J834)),ROUND(F834*J834,0),IF(ISNUMBER(I834),I834,""))</f>
        <v/>
      </c>
      <c r="L834" s="33" t="n"/>
      <c r="M834" s="34">
        <f>IF(COUNTA(A834:B834,D834:I834,L834)=0,"",IF(B834="","案件番号がありません",IF(ISNA(MATCH(B834,'案件'!$A$6:$A$105,0)),"案件シートに無い番号です",IF(NOT(OR(D834="材料費",D834="労務費",D834="外注費",D834="経費")),"費目を4つから選んでください",IF(K834="",IF(AND(ISNUMBER(F834),NOT(ISNUMBER(J834))),IF(D834="労務費","単価がありません（設定の作業者名と同じ書き方に）","単価がありません"),IF(AND(ISNUMBER(J834),NOT(ISNUMBER(F834))),"数量がありません","金額がありません")),IF(NOT(ISNUMBER(A834)),"日付がありません（月別集計に入りません）",IF(AND(ISNUMBER(F834),ISNUMBER(J834),ISNUMBER(I834)),"数量×単価を使いました（金額の欄は使っていません）","")))))))</f>
        <v/>
      </c>
      <c r="N834" s="91">
        <f>IF(AND(B834&lt;&gt;"",B834='案件カード'!$C$3),COUNTIF($B$5:B834,'案件カード'!$C$3),"")</f>
        <v/>
      </c>
      <c r="O834" s="91">
        <f>IF(ISNUMBER(K834),IF(B834="",K834,IF(AND(ISNUMBER(MATCH(B834,'案件'!$A$6:$A$105,0)),OR(D834="材料費",D834="労務費",D834="外注費",D834="経費")),0,K834)),0)</f>
        <v/>
      </c>
    </row>
    <row r="835" ht="16" customHeight="1">
      <c r="A835" s="35" t="n"/>
      <c r="B835" s="36" t="n"/>
      <c r="C835" s="37">
        <f>IF(B835="","",IFERROR(INDEX('案件'!$B$6:$B$105,MATCH(B835,'案件'!$A$6:$A$105,0))&amp;"","（案件シートに無い番号）"))</f>
        <v/>
      </c>
      <c r="D835" s="36" t="n"/>
      <c r="E835" s="38" t="n"/>
      <c r="F835" s="39" t="n"/>
      <c r="G835" s="36" t="n"/>
      <c r="H835" s="40" t="n"/>
      <c r="I835" s="40" t="n"/>
      <c r="J835" s="41">
        <f>IF(ISNUMBER(H835),H835,IF(AND(D835="労務費",TRIM(E835)&lt;&gt;""),IFERROR(INDEX('設定'!$G$12:$G$31,MATCH(TRIM(E835),'設定'!$J$12:$J$31,0)),""),""))</f>
        <v/>
      </c>
      <c r="K835" s="30">
        <f>IF(AND(ISNUMBER(F835),ISNUMBER(J835)),ROUND(F835*J835,0),IF(ISNUMBER(I835),I835,""))</f>
        <v/>
      </c>
      <c r="L835" s="33" t="n"/>
      <c r="M835" s="34">
        <f>IF(COUNTA(A835:B835,D835:I835,L835)=0,"",IF(B835="","案件番号がありません",IF(ISNA(MATCH(B835,'案件'!$A$6:$A$105,0)),"案件シートに無い番号です",IF(NOT(OR(D835="材料費",D835="労務費",D835="外注費",D835="経費")),"費目を4つから選んでください",IF(K835="",IF(AND(ISNUMBER(F835),NOT(ISNUMBER(J835))),IF(D835="労務費","単価がありません（設定の作業者名と同じ書き方に）","単価がありません"),IF(AND(ISNUMBER(J835),NOT(ISNUMBER(F835))),"数量がありません","金額がありません")),IF(NOT(ISNUMBER(A835)),"日付がありません（月別集計に入りません）",IF(AND(ISNUMBER(F835),ISNUMBER(J835),ISNUMBER(I835)),"数量×単価を使いました（金額の欄は使っていません）","")))))))</f>
        <v/>
      </c>
      <c r="N835" s="91">
        <f>IF(AND(B835&lt;&gt;"",B835='案件カード'!$C$3),COUNTIF($B$5:B835,'案件カード'!$C$3),"")</f>
        <v/>
      </c>
      <c r="O835" s="91">
        <f>IF(ISNUMBER(K835),IF(B835="",K835,IF(AND(ISNUMBER(MATCH(B835,'案件'!$A$6:$A$105,0)),OR(D835="材料費",D835="労務費",D835="外注費",D835="経費")),0,K835)),0)</f>
        <v/>
      </c>
    </row>
    <row r="836" ht="16" customHeight="1">
      <c r="A836" s="35" t="n"/>
      <c r="B836" s="36" t="n"/>
      <c r="C836" s="37">
        <f>IF(B836="","",IFERROR(INDEX('案件'!$B$6:$B$105,MATCH(B836,'案件'!$A$6:$A$105,0))&amp;"","（案件シートに無い番号）"))</f>
        <v/>
      </c>
      <c r="D836" s="36" t="n"/>
      <c r="E836" s="38" t="n"/>
      <c r="F836" s="39" t="n"/>
      <c r="G836" s="36" t="n"/>
      <c r="H836" s="40" t="n"/>
      <c r="I836" s="40" t="n"/>
      <c r="J836" s="41">
        <f>IF(ISNUMBER(H836),H836,IF(AND(D836="労務費",TRIM(E836)&lt;&gt;""),IFERROR(INDEX('設定'!$G$12:$G$31,MATCH(TRIM(E836),'設定'!$J$12:$J$31,0)),""),""))</f>
        <v/>
      </c>
      <c r="K836" s="30">
        <f>IF(AND(ISNUMBER(F836),ISNUMBER(J836)),ROUND(F836*J836,0),IF(ISNUMBER(I836),I836,""))</f>
        <v/>
      </c>
      <c r="L836" s="33" t="n"/>
      <c r="M836" s="34">
        <f>IF(COUNTA(A836:B836,D836:I836,L836)=0,"",IF(B836="","案件番号がありません",IF(ISNA(MATCH(B836,'案件'!$A$6:$A$105,0)),"案件シートに無い番号です",IF(NOT(OR(D836="材料費",D836="労務費",D836="外注費",D836="経費")),"費目を4つから選んでください",IF(K836="",IF(AND(ISNUMBER(F836),NOT(ISNUMBER(J836))),IF(D836="労務費","単価がありません（設定の作業者名と同じ書き方に）","単価がありません"),IF(AND(ISNUMBER(J836),NOT(ISNUMBER(F836))),"数量がありません","金額がありません")),IF(NOT(ISNUMBER(A836)),"日付がありません（月別集計に入りません）",IF(AND(ISNUMBER(F836),ISNUMBER(J836),ISNUMBER(I836)),"数量×単価を使いました（金額の欄は使っていません）","")))))))</f>
        <v/>
      </c>
      <c r="N836" s="91">
        <f>IF(AND(B836&lt;&gt;"",B836='案件カード'!$C$3),COUNTIF($B$5:B836,'案件カード'!$C$3),"")</f>
        <v/>
      </c>
      <c r="O836" s="91">
        <f>IF(ISNUMBER(K836),IF(B836="",K836,IF(AND(ISNUMBER(MATCH(B836,'案件'!$A$6:$A$105,0)),OR(D836="材料費",D836="労務費",D836="外注費",D836="経費")),0,K836)),0)</f>
        <v/>
      </c>
    </row>
    <row r="837" ht="16" customHeight="1">
      <c r="A837" s="35" t="n"/>
      <c r="B837" s="36" t="n"/>
      <c r="C837" s="37">
        <f>IF(B837="","",IFERROR(INDEX('案件'!$B$6:$B$105,MATCH(B837,'案件'!$A$6:$A$105,0))&amp;"","（案件シートに無い番号）"))</f>
        <v/>
      </c>
      <c r="D837" s="36" t="n"/>
      <c r="E837" s="38" t="n"/>
      <c r="F837" s="39" t="n"/>
      <c r="G837" s="36" t="n"/>
      <c r="H837" s="40" t="n"/>
      <c r="I837" s="40" t="n"/>
      <c r="J837" s="41">
        <f>IF(ISNUMBER(H837),H837,IF(AND(D837="労務費",TRIM(E837)&lt;&gt;""),IFERROR(INDEX('設定'!$G$12:$G$31,MATCH(TRIM(E837),'設定'!$J$12:$J$31,0)),""),""))</f>
        <v/>
      </c>
      <c r="K837" s="30">
        <f>IF(AND(ISNUMBER(F837),ISNUMBER(J837)),ROUND(F837*J837,0),IF(ISNUMBER(I837),I837,""))</f>
        <v/>
      </c>
      <c r="L837" s="33" t="n"/>
      <c r="M837" s="34">
        <f>IF(COUNTA(A837:B837,D837:I837,L837)=0,"",IF(B837="","案件番号がありません",IF(ISNA(MATCH(B837,'案件'!$A$6:$A$105,0)),"案件シートに無い番号です",IF(NOT(OR(D837="材料費",D837="労務費",D837="外注費",D837="経費")),"費目を4つから選んでください",IF(K837="",IF(AND(ISNUMBER(F837),NOT(ISNUMBER(J837))),IF(D837="労務費","単価がありません（設定の作業者名と同じ書き方に）","単価がありません"),IF(AND(ISNUMBER(J837),NOT(ISNUMBER(F837))),"数量がありません","金額がありません")),IF(NOT(ISNUMBER(A837)),"日付がありません（月別集計に入りません）",IF(AND(ISNUMBER(F837),ISNUMBER(J837),ISNUMBER(I837)),"数量×単価を使いました（金額の欄は使っていません）","")))))))</f>
        <v/>
      </c>
      <c r="N837" s="91">
        <f>IF(AND(B837&lt;&gt;"",B837='案件カード'!$C$3),COUNTIF($B$5:B837,'案件カード'!$C$3),"")</f>
        <v/>
      </c>
      <c r="O837" s="91">
        <f>IF(ISNUMBER(K837),IF(B837="",K837,IF(AND(ISNUMBER(MATCH(B837,'案件'!$A$6:$A$105,0)),OR(D837="材料費",D837="労務費",D837="外注費",D837="経費")),0,K837)),0)</f>
        <v/>
      </c>
    </row>
    <row r="838" ht="16" customHeight="1">
      <c r="A838" s="35" t="n"/>
      <c r="B838" s="36" t="n"/>
      <c r="C838" s="37">
        <f>IF(B838="","",IFERROR(INDEX('案件'!$B$6:$B$105,MATCH(B838,'案件'!$A$6:$A$105,0))&amp;"","（案件シートに無い番号）"))</f>
        <v/>
      </c>
      <c r="D838" s="36" t="n"/>
      <c r="E838" s="38" t="n"/>
      <c r="F838" s="39" t="n"/>
      <c r="G838" s="36" t="n"/>
      <c r="H838" s="40" t="n"/>
      <c r="I838" s="40" t="n"/>
      <c r="J838" s="41">
        <f>IF(ISNUMBER(H838),H838,IF(AND(D838="労務費",TRIM(E838)&lt;&gt;""),IFERROR(INDEX('設定'!$G$12:$G$31,MATCH(TRIM(E838),'設定'!$J$12:$J$31,0)),""),""))</f>
        <v/>
      </c>
      <c r="K838" s="30">
        <f>IF(AND(ISNUMBER(F838),ISNUMBER(J838)),ROUND(F838*J838,0),IF(ISNUMBER(I838),I838,""))</f>
        <v/>
      </c>
      <c r="L838" s="33" t="n"/>
      <c r="M838" s="34">
        <f>IF(COUNTA(A838:B838,D838:I838,L838)=0,"",IF(B838="","案件番号がありません",IF(ISNA(MATCH(B838,'案件'!$A$6:$A$105,0)),"案件シートに無い番号です",IF(NOT(OR(D838="材料費",D838="労務費",D838="外注費",D838="経費")),"費目を4つから選んでください",IF(K838="",IF(AND(ISNUMBER(F838),NOT(ISNUMBER(J838))),IF(D838="労務費","単価がありません（設定の作業者名と同じ書き方に）","単価がありません"),IF(AND(ISNUMBER(J838),NOT(ISNUMBER(F838))),"数量がありません","金額がありません")),IF(NOT(ISNUMBER(A838)),"日付がありません（月別集計に入りません）",IF(AND(ISNUMBER(F838),ISNUMBER(J838),ISNUMBER(I838)),"数量×単価を使いました（金額の欄は使っていません）","")))))))</f>
        <v/>
      </c>
      <c r="N838" s="91">
        <f>IF(AND(B838&lt;&gt;"",B838='案件カード'!$C$3),COUNTIF($B$5:B838,'案件カード'!$C$3),"")</f>
        <v/>
      </c>
      <c r="O838" s="91">
        <f>IF(ISNUMBER(K838),IF(B838="",K838,IF(AND(ISNUMBER(MATCH(B838,'案件'!$A$6:$A$105,0)),OR(D838="材料費",D838="労務費",D838="外注費",D838="経費")),0,K838)),0)</f>
        <v/>
      </c>
    </row>
    <row r="839" ht="16" customHeight="1">
      <c r="A839" s="35" t="n"/>
      <c r="B839" s="36" t="n"/>
      <c r="C839" s="37">
        <f>IF(B839="","",IFERROR(INDEX('案件'!$B$6:$B$105,MATCH(B839,'案件'!$A$6:$A$105,0))&amp;"","（案件シートに無い番号）"))</f>
        <v/>
      </c>
      <c r="D839" s="36" t="n"/>
      <c r="E839" s="38" t="n"/>
      <c r="F839" s="39" t="n"/>
      <c r="G839" s="36" t="n"/>
      <c r="H839" s="40" t="n"/>
      <c r="I839" s="40" t="n"/>
      <c r="J839" s="41">
        <f>IF(ISNUMBER(H839),H839,IF(AND(D839="労務費",TRIM(E839)&lt;&gt;""),IFERROR(INDEX('設定'!$G$12:$G$31,MATCH(TRIM(E839),'設定'!$J$12:$J$31,0)),""),""))</f>
        <v/>
      </c>
      <c r="K839" s="30">
        <f>IF(AND(ISNUMBER(F839),ISNUMBER(J839)),ROUND(F839*J839,0),IF(ISNUMBER(I839),I839,""))</f>
        <v/>
      </c>
      <c r="L839" s="33" t="n"/>
      <c r="M839" s="34">
        <f>IF(COUNTA(A839:B839,D839:I839,L839)=0,"",IF(B839="","案件番号がありません",IF(ISNA(MATCH(B839,'案件'!$A$6:$A$105,0)),"案件シートに無い番号です",IF(NOT(OR(D839="材料費",D839="労務費",D839="外注費",D839="経費")),"費目を4つから選んでください",IF(K839="",IF(AND(ISNUMBER(F839),NOT(ISNUMBER(J839))),IF(D839="労務費","単価がありません（設定の作業者名と同じ書き方に）","単価がありません"),IF(AND(ISNUMBER(J839),NOT(ISNUMBER(F839))),"数量がありません","金額がありません")),IF(NOT(ISNUMBER(A839)),"日付がありません（月別集計に入りません）",IF(AND(ISNUMBER(F839),ISNUMBER(J839),ISNUMBER(I839)),"数量×単価を使いました（金額の欄は使っていません）","")))))))</f>
        <v/>
      </c>
      <c r="N839" s="91">
        <f>IF(AND(B839&lt;&gt;"",B839='案件カード'!$C$3),COUNTIF($B$5:B839,'案件カード'!$C$3),"")</f>
        <v/>
      </c>
      <c r="O839" s="91">
        <f>IF(ISNUMBER(K839),IF(B839="",K839,IF(AND(ISNUMBER(MATCH(B839,'案件'!$A$6:$A$105,0)),OR(D839="材料費",D839="労務費",D839="外注費",D839="経費")),0,K839)),0)</f>
        <v/>
      </c>
    </row>
    <row r="840" ht="16" customHeight="1">
      <c r="A840" s="35" t="n"/>
      <c r="B840" s="36" t="n"/>
      <c r="C840" s="37">
        <f>IF(B840="","",IFERROR(INDEX('案件'!$B$6:$B$105,MATCH(B840,'案件'!$A$6:$A$105,0))&amp;"","（案件シートに無い番号）"))</f>
        <v/>
      </c>
      <c r="D840" s="36" t="n"/>
      <c r="E840" s="38" t="n"/>
      <c r="F840" s="39" t="n"/>
      <c r="G840" s="36" t="n"/>
      <c r="H840" s="40" t="n"/>
      <c r="I840" s="40" t="n"/>
      <c r="J840" s="41">
        <f>IF(ISNUMBER(H840),H840,IF(AND(D840="労務費",TRIM(E840)&lt;&gt;""),IFERROR(INDEX('設定'!$G$12:$G$31,MATCH(TRIM(E840),'設定'!$J$12:$J$31,0)),""),""))</f>
        <v/>
      </c>
      <c r="K840" s="30">
        <f>IF(AND(ISNUMBER(F840),ISNUMBER(J840)),ROUND(F840*J840,0),IF(ISNUMBER(I840),I840,""))</f>
        <v/>
      </c>
      <c r="L840" s="33" t="n"/>
      <c r="M840" s="34">
        <f>IF(COUNTA(A840:B840,D840:I840,L840)=0,"",IF(B840="","案件番号がありません",IF(ISNA(MATCH(B840,'案件'!$A$6:$A$105,0)),"案件シートに無い番号です",IF(NOT(OR(D840="材料費",D840="労務費",D840="外注費",D840="経費")),"費目を4つから選んでください",IF(K840="",IF(AND(ISNUMBER(F840),NOT(ISNUMBER(J840))),IF(D840="労務費","単価がありません（設定の作業者名と同じ書き方に）","単価がありません"),IF(AND(ISNUMBER(J840),NOT(ISNUMBER(F840))),"数量がありません","金額がありません")),IF(NOT(ISNUMBER(A840)),"日付がありません（月別集計に入りません）",IF(AND(ISNUMBER(F840),ISNUMBER(J840),ISNUMBER(I840)),"数量×単価を使いました（金額の欄は使っていません）","")))))))</f>
        <v/>
      </c>
      <c r="N840" s="91">
        <f>IF(AND(B840&lt;&gt;"",B840='案件カード'!$C$3),COUNTIF($B$5:B840,'案件カード'!$C$3),"")</f>
        <v/>
      </c>
      <c r="O840" s="91">
        <f>IF(ISNUMBER(K840),IF(B840="",K840,IF(AND(ISNUMBER(MATCH(B840,'案件'!$A$6:$A$105,0)),OR(D840="材料費",D840="労務費",D840="外注費",D840="経費")),0,K840)),0)</f>
        <v/>
      </c>
    </row>
    <row r="841" ht="16" customHeight="1">
      <c r="A841" s="35" t="n"/>
      <c r="B841" s="36" t="n"/>
      <c r="C841" s="37">
        <f>IF(B841="","",IFERROR(INDEX('案件'!$B$6:$B$105,MATCH(B841,'案件'!$A$6:$A$105,0))&amp;"","（案件シートに無い番号）"))</f>
        <v/>
      </c>
      <c r="D841" s="36" t="n"/>
      <c r="E841" s="38" t="n"/>
      <c r="F841" s="39" t="n"/>
      <c r="G841" s="36" t="n"/>
      <c r="H841" s="40" t="n"/>
      <c r="I841" s="40" t="n"/>
      <c r="J841" s="41">
        <f>IF(ISNUMBER(H841),H841,IF(AND(D841="労務費",TRIM(E841)&lt;&gt;""),IFERROR(INDEX('設定'!$G$12:$G$31,MATCH(TRIM(E841),'設定'!$J$12:$J$31,0)),""),""))</f>
        <v/>
      </c>
      <c r="K841" s="30">
        <f>IF(AND(ISNUMBER(F841),ISNUMBER(J841)),ROUND(F841*J841,0),IF(ISNUMBER(I841),I841,""))</f>
        <v/>
      </c>
      <c r="L841" s="33" t="n"/>
      <c r="M841" s="34">
        <f>IF(COUNTA(A841:B841,D841:I841,L841)=0,"",IF(B841="","案件番号がありません",IF(ISNA(MATCH(B841,'案件'!$A$6:$A$105,0)),"案件シートに無い番号です",IF(NOT(OR(D841="材料費",D841="労務費",D841="外注費",D841="経費")),"費目を4つから選んでください",IF(K841="",IF(AND(ISNUMBER(F841),NOT(ISNUMBER(J841))),IF(D841="労務費","単価がありません（設定の作業者名と同じ書き方に）","単価がありません"),IF(AND(ISNUMBER(J841),NOT(ISNUMBER(F841))),"数量がありません","金額がありません")),IF(NOT(ISNUMBER(A841)),"日付がありません（月別集計に入りません）",IF(AND(ISNUMBER(F841),ISNUMBER(J841),ISNUMBER(I841)),"数量×単価を使いました（金額の欄は使っていません）","")))))))</f>
        <v/>
      </c>
      <c r="N841" s="91">
        <f>IF(AND(B841&lt;&gt;"",B841='案件カード'!$C$3),COUNTIF($B$5:B841,'案件カード'!$C$3),"")</f>
        <v/>
      </c>
      <c r="O841" s="91">
        <f>IF(ISNUMBER(K841),IF(B841="",K841,IF(AND(ISNUMBER(MATCH(B841,'案件'!$A$6:$A$105,0)),OR(D841="材料費",D841="労務費",D841="外注費",D841="経費")),0,K841)),0)</f>
        <v/>
      </c>
    </row>
    <row r="842" ht="16" customHeight="1">
      <c r="A842" s="35" t="n"/>
      <c r="B842" s="36" t="n"/>
      <c r="C842" s="37">
        <f>IF(B842="","",IFERROR(INDEX('案件'!$B$6:$B$105,MATCH(B842,'案件'!$A$6:$A$105,0))&amp;"","（案件シートに無い番号）"))</f>
        <v/>
      </c>
      <c r="D842" s="36" t="n"/>
      <c r="E842" s="38" t="n"/>
      <c r="F842" s="39" t="n"/>
      <c r="G842" s="36" t="n"/>
      <c r="H842" s="40" t="n"/>
      <c r="I842" s="40" t="n"/>
      <c r="J842" s="41">
        <f>IF(ISNUMBER(H842),H842,IF(AND(D842="労務費",TRIM(E842)&lt;&gt;""),IFERROR(INDEX('設定'!$G$12:$G$31,MATCH(TRIM(E842),'設定'!$J$12:$J$31,0)),""),""))</f>
        <v/>
      </c>
      <c r="K842" s="30">
        <f>IF(AND(ISNUMBER(F842),ISNUMBER(J842)),ROUND(F842*J842,0),IF(ISNUMBER(I842),I842,""))</f>
        <v/>
      </c>
      <c r="L842" s="33" t="n"/>
      <c r="M842" s="34">
        <f>IF(COUNTA(A842:B842,D842:I842,L842)=0,"",IF(B842="","案件番号がありません",IF(ISNA(MATCH(B842,'案件'!$A$6:$A$105,0)),"案件シートに無い番号です",IF(NOT(OR(D842="材料費",D842="労務費",D842="外注費",D842="経費")),"費目を4つから選んでください",IF(K842="",IF(AND(ISNUMBER(F842),NOT(ISNUMBER(J842))),IF(D842="労務費","単価がありません（設定の作業者名と同じ書き方に）","単価がありません"),IF(AND(ISNUMBER(J842),NOT(ISNUMBER(F842))),"数量がありません","金額がありません")),IF(NOT(ISNUMBER(A842)),"日付がありません（月別集計に入りません）",IF(AND(ISNUMBER(F842),ISNUMBER(J842),ISNUMBER(I842)),"数量×単価を使いました（金額の欄は使っていません）","")))))))</f>
        <v/>
      </c>
      <c r="N842" s="91">
        <f>IF(AND(B842&lt;&gt;"",B842='案件カード'!$C$3),COUNTIF($B$5:B842,'案件カード'!$C$3),"")</f>
        <v/>
      </c>
      <c r="O842" s="91">
        <f>IF(ISNUMBER(K842),IF(B842="",K842,IF(AND(ISNUMBER(MATCH(B842,'案件'!$A$6:$A$105,0)),OR(D842="材料費",D842="労務費",D842="外注費",D842="経費")),0,K842)),0)</f>
        <v/>
      </c>
    </row>
    <row r="843" ht="16" customHeight="1">
      <c r="A843" s="35" t="n"/>
      <c r="B843" s="36" t="n"/>
      <c r="C843" s="37">
        <f>IF(B843="","",IFERROR(INDEX('案件'!$B$6:$B$105,MATCH(B843,'案件'!$A$6:$A$105,0))&amp;"","（案件シートに無い番号）"))</f>
        <v/>
      </c>
      <c r="D843" s="36" t="n"/>
      <c r="E843" s="38" t="n"/>
      <c r="F843" s="39" t="n"/>
      <c r="G843" s="36" t="n"/>
      <c r="H843" s="40" t="n"/>
      <c r="I843" s="40" t="n"/>
      <c r="J843" s="41">
        <f>IF(ISNUMBER(H843),H843,IF(AND(D843="労務費",TRIM(E843)&lt;&gt;""),IFERROR(INDEX('設定'!$G$12:$G$31,MATCH(TRIM(E843),'設定'!$J$12:$J$31,0)),""),""))</f>
        <v/>
      </c>
      <c r="K843" s="30">
        <f>IF(AND(ISNUMBER(F843),ISNUMBER(J843)),ROUND(F843*J843,0),IF(ISNUMBER(I843),I843,""))</f>
        <v/>
      </c>
      <c r="L843" s="33" t="n"/>
      <c r="M843" s="34">
        <f>IF(COUNTA(A843:B843,D843:I843,L843)=0,"",IF(B843="","案件番号がありません",IF(ISNA(MATCH(B843,'案件'!$A$6:$A$105,0)),"案件シートに無い番号です",IF(NOT(OR(D843="材料費",D843="労務費",D843="外注費",D843="経費")),"費目を4つから選んでください",IF(K843="",IF(AND(ISNUMBER(F843),NOT(ISNUMBER(J843))),IF(D843="労務費","単価がありません（設定の作業者名と同じ書き方に）","単価がありません"),IF(AND(ISNUMBER(J843),NOT(ISNUMBER(F843))),"数量がありません","金額がありません")),IF(NOT(ISNUMBER(A843)),"日付がありません（月別集計に入りません）",IF(AND(ISNUMBER(F843),ISNUMBER(J843),ISNUMBER(I843)),"数量×単価を使いました（金額の欄は使っていません）","")))))))</f>
        <v/>
      </c>
      <c r="N843" s="91">
        <f>IF(AND(B843&lt;&gt;"",B843='案件カード'!$C$3),COUNTIF($B$5:B843,'案件カード'!$C$3),"")</f>
        <v/>
      </c>
      <c r="O843" s="91">
        <f>IF(ISNUMBER(K843),IF(B843="",K843,IF(AND(ISNUMBER(MATCH(B843,'案件'!$A$6:$A$105,0)),OR(D843="材料費",D843="労務費",D843="外注費",D843="経費")),0,K843)),0)</f>
        <v/>
      </c>
    </row>
    <row r="844" ht="16" customHeight="1">
      <c r="A844" s="35" t="n"/>
      <c r="B844" s="36" t="n"/>
      <c r="C844" s="37">
        <f>IF(B844="","",IFERROR(INDEX('案件'!$B$6:$B$105,MATCH(B844,'案件'!$A$6:$A$105,0))&amp;"","（案件シートに無い番号）"))</f>
        <v/>
      </c>
      <c r="D844" s="36" t="n"/>
      <c r="E844" s="38" t="n"/>
      <c r="F844" s="39" t="n"/>
      <c r="G844" s="36" t="n"/>
      <c r="H844" s="40" t="n"/>
      <c r="I844" s="40" t="n"/>
      <c r="J844" s="41">
        <f>IF(ISNUMBER(H844),H844,IF(AND(D844="労務費",TRIM(E844)&lt;&gt;""),IFERROR(INDEX('設定'!$G$12:$G$31,MATCH(TRIM(E844),'設定'!$J$12:$J$31,0)),""),""))</f>
        <v/>
      </c>
      <c r="K844" s="30">
        <f>IF(AND(ISNUMBER(F844),ISNUMBER(J844)),ROUND(F844*J844,0),IF(ISNUMBER(I844),I844,""))</f>
        <v/>
      </c>
      <c r="L844" s="33" t="n"/>
      <c r="M844" s="34">
        <f>IF(COUNTA(A844:B844,D844:I844,L844)=0,"",IF(B844="","案件番号がありません",IF(ISNA(MATCH(B844,'案件'!$A$6:$A$105,0)),"案件シートに無い番号です",IF(NOT(OR(D844="材料費",D844="労務費",D844="外注費",D844="経費")),"費目を4つから選んでください",IF(K844="",IF(AND(ISNUMBER(F844),NOT(ISNUMBER(J844))),IF(D844="労務費","単価がありません（設定の作業者名と同じ書き方に）","単価がありません"),IF(AND(ISNUMBER(J844),NOT(ISNUMBER(F844))),"数量がありません","金額がありません")),IF(NOT(ISNUMBER(A844)),"日付がありません（月別集計に入りません）",IF(AND(ISNUMBER(F844),ISNUMBER(J844),ISNUMBER(I844)),"数量×単価を使いました（金額の欄は使っていません）","")))))))</f>
        <v/>
      </c>
      <c r="N844" s="91">
        <f>IF(AND(B844&lt;&gt;"",B844='案件カード'!$C$3),COUNTIF($B$5:B844,'案件カード'!$C$3),"")</f>
        <v/>
      </c>
      <c r="O844" s="91">
        <f>IF(ISNUMBER(K844),IF(B844="",K844,IF(AND(ISNUMBER(MATCH(B844,'案件'!$A$6:$A$105,0)),OR(D844="材料費",D844="労務費",D844="外注費",D844="経費")),0,K844)),0)</f>
        <v/>
      </c>
    </row>
    <row r="845" ht="16" customHeight="1">
      <c r="A845" s="35" t="n"/>
      <c r="B845" s="36" t="n"/>
      <c r="C845" s="37">
        <f>IF(B845="","",IFERROR(INDEX('案件'!$B$6:$B$105,MATCH(B845,'案件'!$A$6:$A$105,0))&amp;"","（案件シートに無い番号）"))</f>
        <v/>
      </c>
      <c r="D845" s="36" t="n"/>
      <c r="E845" s="38" t="n"/>
      <c r="F845" s="39" t="n"/>
      <c r="G845" s="36" t="n"/>
      <c r="H845" s="40" t="n"/>
      <c r="I845" s="40" t="n"/>
      <c r="J845" s="41">
        <f>IF(ISNUMBER(H845),H845,IF(AND(D845="労務費",TRIM(E845)&lt;&gt;""),IFERROR(INDEX('設定'!$G$12:$G$31,MATCH(TRIM(E845),'設定'!$J$12:$J$31,0)),""),""))</f>
        <v/>
      </c>
      <c r="K845" s="30">
        <f>IF(AND(ISNUMBER(F845),ISNUMBER(J845)),ROUND(F845*J845,0),IF(ISNUMBER(I845),I845,""))</f>
        <v/>
      </c>
      <c r="L845" s="33" t="n"/>
      <c r="M845" s="34">
        <f>IF(COUNTA(A845:B845,D845:I845,L845)=0,"",IF(B845="","案件番号がありません",IF(ISNA(MATCH(B845,'案件'!$A$6:$A$105,0)),"案件シートに無い番号です",IF(NOT(OR(D845="材料費",D845="労務費",D845="外注費",D845="経費")),"費目を4つから選んでください",IF(K845="",IF(AND(ISNUMBER(F845),NOT(ISNUMBER(J845))),IF(D845="労務費","単価がありません（設定の作業者名と同じ書き方に）","単価がありません"),IF(AND(ISNUMBER(J845),NOT(ISNUMBER(F845))),"数量がありません","金額がありません")),IF(NOT(ISNUMBER(A845)),"日付がありません（月別集計に入りません）",IF(AND(ISNUMBER(F845),ISNUMBER(J845),ISNUMBER(I845)),"数量×単価を使いました（金額の欄は使っていません）","")))))))</f>
        <v/>
      </c>
      <c r="N845" s="91">
        <f>IF(AND(B845&lt;&gt;"",B845='案件カード'!$C$3),COUNTIF($B$5:B845,'案件カード'!$C$3),"")</f>
        <v/>
      </c>
      <c r="O845" s="91">
        <f>IF(ISNUMBER(K845),IF(B845="",K845,IF(AND(ISNUMBER(MATCH(B845,'案件'!$A$6:$A$105,0)),OR(D845="材料費",D845="労務費",D845="外注費",D845="経費")),0,K845)),0)</f>
        <v/>
      </c>
    </row>
    <row r="846" ht="16" customHeight="1">
      <c r="A846" s="35" t="n"/>
      <c r="B846" s="36" t="n"/>
      <c r="C846" s="37">
        <f>IF(B846="","",IFERROR(INDEX('案件'!$B$6:$B$105,MATCH(B846,'案件'!$A$6:$A$105,0))&amp;"","（案件シートに無い番号）"))</f>
        <v/>
      </c>
      <c r="D846" s="36" t="n"/>
      <c r="E846" s="38" t="n"/>
      <c r="F846" s="39" t="n"/>
      <c r="G846" s="36" t="n"/>
      <c r="H846" s="40" t="n"/>
      <c r="I846" s="40" t="n"/>
      <c r="J846" s="41">
        <f>IF(ISNUMBER(H846),H846,IF(AND(D846="労務費",TRIM(E846)&lt;&gt;""),IFERROR(INDEX('設定'!$G$12:$G$31,MATCH(TRIM(E846),'設定'!$J$12:$J$31,0)),""),""))</f>
        <v/>
      </c>
      <c r="K846" s="30">
        <f>IF(AND(ISNUMBER(F846),ISNUMBER(J846)),ROUND(F846*J846,0),IF(ISNUMBER(I846),I846,""))</f>
        <v/>
      </c>
      <c r="L846" s="33" t="n"/>
      <c r="M846" s="34">
        <f>IF(COUNTA(A846:B846,D846:I846,L846)=0,"",IF(B846="","案件番号がありません",IF(ISNA(MATCH(B846,'案件'!$A$6:$A$105,0)),"案件シートに無い番号です",IF(NOT(OR(D846="材料費",D846="労務費",D846="外注費",D846="経費")),"費目を4つから選んでください",IF(K846="",IF(AND(ISNUMBER(F846),NOT(ISNUMBER(J846))),IF(D846="労務費","単価がありません（設定の作業者名と同じ書き方に）","単価がありません"),IF(AND(ISNUMBER(J846),NOT(ISNUMBER(F846))),"数量がありません","金額がありません")),IF(NOT(ISNUMBER(A846)),"日付がありません（月別集計に入りません）",IF(AND(ISNUMBER(F846),ISNUMBER(J846),ISNUMBER(I846)),"数量×単価を使いました（金額の欄は使っていません）","")))))))</f>
        <v/>
      </c>
      <c r="N846" s="91">
        <f>IF(AND(B846&lt;&gt;"",B846='案件カード'!$C$3),COUNTIF($B$5:B846,'案件カード'!$C$3),"")</f>
        <v/>
      </c>
      <c r="O846" s="91">
        <f>IF(ISNUMBER(K846),IF(B846="",K846,IF(AND(ISNUMBER(MATCH(B846,'案件'!$A$6:$A$105,0)),OR(D846="材料費",D846="労務費",D846="外注費",D846="経費")),0,K846)),0)</f>
        <v/>
      </c>
    </row>
    <row r="847" ht="16" customHeight="1">
      <c r="A847" s="35" t="n"/>
      <c r="B847" s="36" t="n"/>
      <c r="C847" s="37">
        <f>IF(B847="","",IFERROR(INDEX('案件'!$B$6:$B$105,MATCH(B847,'案件'!$A$6:$A$105,0))&amp;"","（案件シートに無い番号）"))</f>
        <v/>
      </c>
      <c r="D847" s="36" t="n"/>
      <c r="E847" s="38" t="n"/>
      <c r="F847" s="39" t="n"/>
      <c r="G847" s="36" t="n"/>
      <c r="H847" s="40" t="n"/>
      <c r="I847" s="40" t="n"/>
      <c r="J847" s="41">
        <f>IF(ISNUMBER(H847),H847,IF(AND(D847="労務費",TRIM(E847)&lt;&gt;""),IFERROR(INDEX('設定'!$G$12:$G$31,MATCH(TRIM(E847),'設定'!$J$12:$J$31,0)),""),""))</f>
        <v/>
      </c>
      <c r="K847" s="30">
        <f>IF(AND(ISNUMBER(F847),ISNUMBER(J847)),ROUND(F847*J847,0),IF(ISNUMBER(I847),I847,""))</f>
        <v/>
      </c>
      <c r="L847" s="33" t="n"/>
      <c r="M847" s="34">
        <f>IF(COUNTA(A847:B847,D847:I847,L847)=0,"",IF(B847="","案件番号がありません",IF(ISNA(MATCH(B847,'案件'!$A$6:$A$105,0)),"案件シートに無い番号です",IF(NOT(OR(D847="材料費",D847="労務費",D847="外注費",D847="経費")),"費目を4つから選んでください",IF(K847="",IF(AND(ISNUMBER(F847),NOT(ISNUMBER(J847))),IF(D847="労務費","単価がありません（設定の作業者名と同じ書き方に）","単価がありません"),IF(AND(ISNUMBER(J847),NOT(ISNUMBER(F847))),"数量がありません","金額がありません")),IF(NOT(ISNUMBER(A847)),"日付がありません（月別集計に入りません）",IF(AND(ISNUMBER(F847),ISNUMBER(J847),ISNUMBER(I847)),"数量×単価を使いました（金額の欄は使っていません）","")))))))</f>
        <v/>
      </c>
      <c r="N847" s="91">
        <f>IF(AND(B847&lt;&gt;"",B847='案件カード'!$C$3),COUNTIF($B$5:B847,'案件カード'!$C$3),"")</f>
        <v/>
      </c>
      <c r="O847" s="91">
        <f>IF(ISNUMBER(K847),IF(B847="",K847,IF(AND(ISNUMBER(MATCH(B847,'案件'!$A$6:$A$105,0)),OR(D847="材料費",D847="労務費",D847="外注費",D847="経費")),0,K847)),0)</f>
        <v/>
      </c>
    </row>
    <row r="848" ht="16" customHeight="1">
      <c r="A848" s="35" t="n"/>
      <c r="B848" s="36" t="n"/>
      <c r="C848" s="37">
        <f>IF(B848="","",IFERROR(INDEX('案件'!$B$6:$B$105,MATCH(B848,'案件'!$A$6:$A$105,0))&amp;"","（案件シートに無い番号）"))</f>
        <v/>
      </c>
      <c r="D848" s="36" t="n"/>
      <c r="E848" s="38" t="n"/>
      <c r="F848" s="39" t="n"/>
      <c r="G848" s="36" t="n"/>
      <c r="H848" s="40" t="n"/>
      <c r="I848" s="40" t="n"/>
      <c r="J848" s="41">
        <f>IF(ISNUMBER(H848),H848,IF(AND(D848="労務費",TRIM(E848)&lt;&gt;""),IFERROR(INDEX('設定'!$G$12:$G$31,MATCH(TRIM(E848),'設定'!$J$12:$J$31,0)),""),""))</f>
        <v/>
      </c>
      <c r="K848" s="30">
        <f>IF(AND(ISNUMBER(F848),ISNUMBER(J848)),ROUND(F848*J848,0),IF(ISNUMBER(I848),I848,""))</f>
        <v/>
      </c>
      <c r="L848" s="33" t="n"/>
      <c r="M848" s="34">
        <f>IF(COUNTA(A848:B848,D848:I848,L848)=0,"",IF(B848="","案件番号がありません",IF(ISNA(MATCH(B848,'案件'!$A$6:$A$105,0)),"案件シートに無い番号です",IF(NOT(OR(D848="材料費",D848="労務費",D848="外注費",D848="経費")),"費目を4つから選んでください",IF(K848="",IF(AND(ISNUMBER(F848),NOT(ISNUMBER(J848))),IF(D848="労務費","単価がありません（設定の作業者名と同じ書き方に）","単価がありません"),IF(AND(ISNUMBER(J848),NOT(ISNUMBER(F848))),"数量がありません","金額がありません")),IF(NOT(ISNUMBER(A848)),"日付がありません（月別集計に入りません）",IF(AND(ISNUMBER(F848),ISNUMBER(J848),ISNUMBER(I848)),"数量×単価を使いました（金額の欄は使っていません）","")))))))</f>
        <v/>
      </c>
      <c r="N848" s="91">
        <f>IF(AND(B848&lt;&gt;"",B848='案件カード'!$C$3),COUNTIF($B$5:B848,'案件カード'!$C$3),"")</f>
        <v/>
      </c>
      <c r="O848" s="91">
        <f>IF(ISNUMBER(K848),IF(B848="",K848,IF(AND(ISNUMBER(MATCH(B848,'案件'!$A$6:$A$105,0)),OR(D848="材料費",D848="労務費",D848="外注費",D848="経費")),0,K848)),0)</f>
        <v/>
      </c>
    </row>
    <row r="849" ht="16" customHeight="1">
      <c r="A849" s="35" t="n"/>
      <c r="B849" s="36" t="n"/>
      <c r="C849" s="37">
        <f>IF(B849="","",IFERROR(INDEX('案件'!$B$6:$B$105,MATCH(B849,'案件'!$A$6:$A$105,0))&amp;"","（案件シートに無い番号）"))</f>
        <v/>
      </c>
      <c r="D849" s="36" t="n"/>
      <c r="E849" s="38" t="n"/>
      <c r="F849" s="39" t="n"/>
      <c r="G849" s="36" t="n"/>
      <c r="H849" s="40" t="n"/>
      <c r="I849" s="40" t="n"/>
      <c r="J849" s="41">
        <f>IF(ISNUMBER(H849),H849,IF(AND(D849="労務費",TRIM(E849)&lt;&gt;""),IFERROR(INDEX('設定'!$G$12:$G$31,MATCH(TRIM(E849),'設定'!$J$12:$J$31,0)),""),""))</f>
        <v/>
      </c>
      <c r="K849" s="30">
        <f>IF(AND(ISNUMBER(F849),ISNUMBER(J849)),ROUND(F849*J849,0),IF(ISNUMBER(I849),I849,""))</f>
        <v/>
      </c>
      <c r="L849" s="33" t="n"/>
      <c r="M849" s="34">
        <f>IF(COUNTA(A849:B849,D849:I849,L849)=0,"",IF(B849="","案件番号がありません",IF(ISNA(MATCH(B849,'案件'!$A$6:$A$105,0)),"案件シートに無い番号です",IF(NOT(OR(D849="材料費",D849="労務費",D849="外注費",D849="経費")),"費目を4つから選んでください",IF(K849="",IF(AND(ISNUMBER(F849),NOT(ISNUMBER(J849))),IF(D849="労務費","単価がありません（設定の作業者名と同じ書き方に）","単価がありません"),IF(AND(ISNUMBER(J849),NOT(ISNUMBER(F849))),"数量がありません","金額がありません")),IF(NOT(ISNUMBER(A849)),"日付がありません（月別集計に入りません）",IF(AND(ISNUMBER(F849),ISNUMBER(J849),ISNUMBER(I849)),"数量×単価を使いました（金額の欄は使っていません）","")))))))</f>
        <v/>
      </c>
      <c r="N849" s="91">
        <f>IF(AND(B849&lt;&gt;"",B849='案件カード'!$C$3),COUNTIF($B$5:B849,'案件カード'!$C$3),"")</f>
        <v/>
      </c>
      <c r="O849" s="91">
        <f>IF(ISNUMBER(K849),IF(B849="",K849,IF(AND(ISNUMBER(MATCH(B849,'案件'!$A$6:$A$105,0)),OR(D849="材料費",D849="労務費",D849="外注費",D849="経費")),0,K849)),0)</f>
        <v/>
      </c>
    </row>
    <row r="850" ht="16" customHeight="1">
      <c r="A850" s="35" t="n"/>
      <c r="B850" s="36" t="n"/>
      <c r="C850" s="37">
        <f>IF(B850="","",IFERROR(INDEX('案件'!$B$6:$B$105,MATCH(B850,'案件'!$A$6:$A$105,0))&amp;"","（案件シートに無い番号）"))</f>
        <v/>
      </c>
      <c r="D850" s="36" t="n"/>
      <c r="E850" s="38" t="n"/>
      <c r="F850" s="39" t="n"/>
      <c r="G850" s="36" t="n"/>
      <c r="H850" s="40" t="n"/>
      <c r="I850" s="40" t="n"/>
      <c r="J850" s="41">
        <f>IF(ISNUMBER(H850),H850,IF(AND(D850="労務費",TRIM(E850)&lt;&gt;""),IFERROR(INDEX('設定'!$G$12:$G$31,MATCH(TRIM(E850),'設定'!$J$12:$J$31,0)),""),""))</f>
        <v/>
      </c>
      <c r="K850" s="30">
        <f>IF(AND(ISNUMBER(F850),ISNUMBER(J850)),ROUND(F850*J850,0),IF(ISNUMBER(I850),I850,""))</f>
        <v/>
      </c>
      <c r="L850" s="33" t="n"/>
      <c r="M850" s="34">
        <f>IF(COUNTA(A850:B850,D850:I850,L850)=0,"",IF(B850="","案件番号がありません",IF(ISNA(MATCH(B850,'案件'!$A$6:$A$105,0)),"案件シートに無い番号です",IF(NOT(OR(D850="材料費",D850="労務費",D850="外注費",D850="経費")),"費目を4つから選んでください",IF(K850="",IF(AND(ISNUMBER(F850),NOT(ISNUMBER(J850))),IF(D850="労務費","単価がありません（設定の作業者名と同じ書き方に）","単価がありません"),IF(AND(ISNUMBER(J850),NOT(ISNUMBER(F850))),"数量がありません","金額がありません")),IF(NOT(ISNUMBER(A850)),"日付がありません（月別集計に入りません）",IF(AND(ISNUMBER(F850),ISNUMBER(J850),ISNUMBER(I850)),"数量×単価を使いました（金額の欄は使っていません）","")))))))</f>
        <v/>
      </c>
      <c r="N850" s="91">
        <f>IF(AND(B850&lt;&gt;"",B850='案件カード'!$C$3),COUNTIF($B$5:B850,'案件カード'!$C$3),"")</f>
        <v/>
      </c>
      <c r="O850" s="91">
        <f>IF(ISNUMBER(K850),IF(B850="",K850,IF(AND(ISNUMBER(MATCH(B850,'案件'!$A$6:$A$105,0)),OR(D850="材料費",D850="労務費",D850="外注費",D850="経費")),0,K850)),0)</f>
        <v/>
      </c>
    </row>
    <row r="851" ht="16" customHeight="1">
      <c r="A851" s="35" t="n"/>
      <c r="B851" s="36" t="n"/>
      <c r="C851" s="37">
        <f>IF(B851="","",IFERROR(INDEX('案件'!$B$6:$B$105,MATCH(B851,'案件'!$A$6:$A$105,0))&amp;"","（案件シートに無い番号）"))</f>
        <v/>
      </c>
      <c r="D851" s="36" t="n"/>
      <c r="E851" s="38" t="n"/>
      <c r="F851" s="39" t="n"/>
      <c r="G851" s="36" t="n"/>
      <c r="H851" s="40" t="n"/>
      <c r="I851" s="40" t="n"/>
      <c r="J851" s="41">
        <f>IF(ISNUMBER(H851),H851,IF(AND(D851="労務費",TRIM(E851)&lt;&gt;""),IFERROR(INDEX('設定'!$G$12:$G$31,MATCH(TRIM(E851),'設定'!$J$12:$J$31,0)),""),""))</f>
        <v/>
      </c>
      <c r="K851" s="30">
        <f>IF(AND(ISNUMBER(F851),ISNUMBER(J851)),ROUND(F851*J851,0),IF(ISNUMBER(I851),I851,""))</f>
        <v/>
      </c>
      <c r="L851" s="33" t="n"/>
      <c r="M851" s="34">
        <f>IF(COUNTA(A851:B851,D851:I851,L851)=0,"",IF(B851="","案件番号がありません",IF(ISNA(MATCH(B851,'案件'!$A$6:$A$105,0)),"案件シートに無い番号です",IF(NOT(OR(D851="材料費",D851="労務費",D851="外注費",D851="経費")),"費目を4つから選んでください",IF(K851="",IF(AND(ISNUMBER(F851),NOT(ISNUMBER(J851))),IF(D851="労務費","単価がありません（設定の作業者名と同じ書き方に）","単価がありません"),IF(AND(ISNUMBER(J851),NOT(ISNUMBER(F851))),"数量がありません","金額がありません")),IF(NOT(ISNUMBER(A851)),"日付がありません（月別集計に入りません）",IF(AND(ISNUMBER(F851),ISNUMBER(J851),ISNUMBER(I851)),"数量×単価を使いました（金額の欄は使っていません）","")))))))</f>
        <v/>
      </c>
      <c r="N851" s="91">
        <f>IF(AND(B851&lt;&gt;"",B851='案件カード'!$C$3),COUNTIF($B$5:B851,'案件カード'!$C$3),"")</f>
        <v/>
      </c>
      <c r="O851" s="91">
        <f>IF(ISNUMBER(K851),IF(B851="",K851,IF(AND(ISNUMBER(MATCH(B851,'案件'!$A$6:$A$105,0)),OR(D851="材料費",D851="労務費",D851="外注費",D851="経費")),0,K851)),0)</f>
        <v/>
      </c>
    </row>
    <row r="852" ht="16" customHeight="1">
      <c r="A852" s="35" t="n"/>
      <c r="B852" s="36" t="n"/>
      <c r="C852" s="37">
        <f>IF(B852="","",IFERROR(INDEX('案件'!$B$6:$B$105,MATCH(B852,'案件'!$A$6:$A$105,0))&amp;"","（案件シートに無い番号）"))</f>
        <v/>
      </c>
      <c r="D852" s="36" t="n"/>
      <c r="E852" s="38" t="n"/>
      <c r="F852" s="39" t="n"/>
      <c r="G852" s="36" t="n"/>
      <c r="H852" s="40" t="n"/>
      <c r="I852" s="40" t="n"/>
      <c r="J852" s="41">
        <f>IF(ISNUMBER(H852),H852,IF(AND(D852="労務費",TRIM(E852)&lt;&gt;""),IFERROR(INDEX('設定'!$G$12:$G$31,MATCH(TRIM(E852),'設定'!$J$12:$J$31,0)),""),""))</f>
        <v/>
      </c>
      <c r="K852" s="30">
        <f>IF(AND(ISNUMBER(F852),ISNUMBER(J852)),ROUND(F852*J852,0),IF(ISNUMBER(I852),I852,""))</f>
        <v/>
      </c>
      <c r="L852" s="33" t="n"/>
      <c r="M852" s="34">
        <f>IF(COUNTA(A852:B852,D852:I852,L852)=0,"",IF(B852="","案件番号がありません",IF(ISNA(MATCH(B852,'案件'!$A$6:$A$105,0)),"案件シートに無い番号です",IF(NOT(OR(D852="材料費",D852="労務費",D852="外注費",D852="経費")),"費目を4つから選んでください",IF(K852="",IF(AND(ISNUMBER(F852),NOT(ISNUMBER(J852))),IF(D852="労務費","単価がありません（設定の作業者名と同じ書き方に）","単価がありません"),IF(AND(ISNUMBER(J852),NOT(ISNUMBER(F852))),"数量がありません","金額がありません")),IF(NOT(ISNUMBER(A852)),"日付がありません（月別集計に入りません）",IF(AND(ISNUMBER(F852),ISNUMBER(J852),ISNUMBER(I852)),"数量×単価を使いました（金額の欄は使っていません）","")))))))</f>
        <v/>
      </c>
      <c r="N852" s="91">
        <f>IF(AND(B852&lt;&gt;"",B852='案件カード'!$C$3),COUNTIF($B$5:B852,'案件カード'!$C$3),"")</f>
        <v/>
      </c>
      <c r="O852" s="91">
        <f>IF(ISNUMBER(K852),IF(B852="",K852,IF(AND(ISNUMBER(MATCH(B852,'案件'!$A$6:$A$105,0)),OR(D852="材料費",D852="労務費",D852="外注費",D852="経費")),0,K852)),0)</f>
        <v/>
      </c>
    </row>
    <row r="853" ht="16" customHeight="1">
      <c r="A853" s="35" t="n"/>
      <c r="B853" s="36" t="n"/>
      <c r="C853" s="37">
        <f>IF(B853="","",IFERROR(INDEX('案件'!$B$6:$B$105,MATCH(B853,'案件'!$A$6:$A$105,0))&amp;"","（案件シートに無い番号）"))</f>
        <v/>
      </c>
      <c r="D853" s="36" t="n"/>
      <c r="E853" s="38" t="n"/>
      <c r="F853" s="39" t="n"/>
      <c r="G853" s="36" t="n"/>
      <c r="H853" s="40" t="n"/>
      <c r="I853" s="40" t="n"/>
      <c r="J853" s="41">
        <f>IF(ISNUMBER(H853),H853,IF(AND(D853="労務費",TRIM(E853)&lt;&gt;""),IFERROR(INDEX('設定'!$G$12:$G$31,MATCH(TRIM(E853),'設定'!$J$12:$J$31,0)),""),""))</f>
        <v/>
      </c>
      <c r="K853" s="30">
        <f>IF(AND(ISNUMBER(F853),ISNUMBER(J853)),ROUND(F853*J853,0),IF(ISNUMBER(I853),I853,""))</f>
        <v/>
      </c>
      <c r="L853" s="33" t="n"/>
      <c r="M853" s="34">
        <f>IF(COUNTA(A853:B853,D853:I853,L853)=0,"",IF(B853="","案件番号がありません",IF(ISNA(MATCH(B853,'案件'!$A$6:$A$105,0)),"案件シートに無い番号です",IF(NOT(OR(D853="材料費",D853="労務費",D853="外注費",D853="経費")),"費目を4つから選んでください",IF(K853="",IF(AND(ISNUMBER(F853),NOT(ISNUMBER(J853))),IF(D853="労務費","単価がありません（設定の作業者名と同じ書き方に）","単価がありません"),IF(AND(ISNUMBER(J853),NOT(ISNUMBER(F853))),"数量がありません","金額がありません")),IF(NOT(ISNUMBER(A853)),"日付がありません（月別集計に入りません）",IF(AND(ISNUMBER(F853),ISNUMBER(J853),ISNUMBER(I853)),"数量×単価を使いました（金額の欄は使っていません）","")))))))</f>
        <v/>
      </c>
      <c r="N853" s="91">
        <f>IF(AND(B853&lt;&gt;"",B853='案件カード'!$C$3),COUNTIF($B$5:B853,'案件カード'!$C$3),"")</f>
        <v/>
      </c>
      <c r="O853" s="91">
        <f>IF(ISNUMBER(K853),IF(B853="",K853,IF(AND(ISNUMBER(MATCH(B853,'案件'!$A$6:$A$105,0)),OR(D853="材料費",D853="労務費",D853="外注費",D853="経費")),0,K853)),0)</f>
        <v/>
      </c>
    </row>
    <row r="854" ht="16" customHeight="1">
      <c r="A854" s="35" t="n"/>
      <c r="B854" s="36" t="n"/>
      <c r="C854" s="37">
        <f>IF(B854="","",IFERROR(INDEX('案件'!$B$6:$B$105,MATCH(B854,'案件'!$A$6:$A$105,0))&amp;"","（案件シートに無い番号）"))</f>
        <v/>
      </c>
      <c r="D854" s="36" t="n"/>
      <c r="E854" s="38" t="n"/>
      <c r="F854" s="39" t="n"/>
      <c r="G854" s="36" t="n"/>
      <c r="H854" s="40" t="n"/>
      <c r="I854" s="40" t="n"/>
      <c r="J854" s="41">
        <f>IF(ISNUMBER(H854),H854,IF(AND(D854="労務費",TRIM(E854)&lt;&gt;""),IFERROR(INDEX('設定'!$G$12:$G$31,MATCH(TRIM(E854),'設定'!$J$12:$J$31,0)),""),""))</f>
        <v/>
      </c>
      <c r="K854" s="30">
        <f>IF(AND(ISNUMBER(F854),ISNUMBER(J854)),ROUND(F854*J854,0),IF(ISNUMBER(I854),I854,""))</f>
        <v/>
      </c>
      <c r="L854" s="33" t="n"/>
      <c r="M854" s="34">
        <f>IF(COUNTA(A854:B854,D854:I854,L854)=0,"",IF(B854="","案件番号がありません",IF(ISNA(MATCH(B854,'案件'!$A$6:$A$105,0)),"案件シートに無い番号です",IF(NOT(OR(D854="材料費",D854="労務費",D854="外注費",D854="経費")),"費目を4つから選んでください",IF(K854="",IF(AND(ISNUMBER(F854),NOT(ISNUMBER(J854))),IF(D854="労務費","単価がありません（設定の作業者名と同じ書き方に）","単価がありません"),IF(AND(ISNUMBER(J854),NOT(ISNUMBER(F854))),"数量がありません","金額がありません")),IF(NOT(ISNUMBER(A854)),"日付がありません（月別集計に入りません）",IF(AND(ISNUMBER(F854),ISNUMBER(J854),ISNUMBER(I854)),"数量×単価を使いました（金額の欄は使っていません）","")))))))</f>
        <v/>
      </c>
      <c r="N854" s="91">
        <f>IF(AND(B854&lt;&gt;"",B854='案件カード'!$C$3),COUNTIF($B$5:B854,'案件カード'!$C$3),"")</f>
        <v/>
      </c>
      <c r="O854" s="91">
        <f>IF(ISNUMBER(K854),IF(B854="",K854,IF(AND(ISNUMBER(MATCH(B854,'案件'!$A$6:$A$105,0)),OR(D854="材料費",D854="労務費",D854="外注費",D854="経費")),0,K854)),0)</f>
        <v/>
      </c>
    </row>
    <row r="855" ht="16" customHeight="1">
      <c r="A855" s="35" t="n"/>
      <c r="B855" s="36" t="n"/>
      <c r="C855" s="37">
        <f>IF(B855="","",IFERROR(INDEX('案件'!$B$6:$B$105,MATCH(B855,'案件'!$A$6:$A$105,0))&amp;"","（案件シートに無い番号）"))</f>
        <v/>
      </c>
      <c r="D855" s="36" t="n"/>
      <c r="E855" s="38" t="n"/>
      <c r="F855" s="39" t="n"/>
      <c r="G855" s="36" t="n"/>
      <c r="H855" s="40" t="n"/>
      <c r="I855" s="40" t="n"/>
      <c r="J855" s="41">
        <f>IF(ISNUMBER(H855),H855,IF(AND(D855="労務費",TRIM(E855)&lt;&gt;""),IFERROR(INDEX('設定'!$G$12:$G$31,MATCH(TRIM(E855),'設定'!$J$12:$J$31,0)),""),""))</f>
        <v/>
      </c>
      <c r="K855" s="30">
        <f>IF(AND(ISNUMBER(F855),ISNUMBER(J855)),ROUND(F855*J855,0),IF(ISNUMBER(I855),I855,""))</f>
        <v/>
      </c>
      <c r="L855" s="33" t="n"/>
      <c r="M855" s="34">
        <f>IF(COUNTA(A855:B855,D855:I855,L855)=0,"",IF(B855="","案件番号がありません",IF(ISNA(MATCH(B855,'案件'!$A$6:$A$105,0)),"案件シートに無い番号です",IF(NOT(OR(D855="材料費",D855="労務費",D855="外注費",D855="経費")),"費目を4つから選んでください",IF(K855="",IF(AND(ISNUMBER(F855),NOT(ISNUMBER(J855))),IF(D855="労務費","単価がありません（設定の作業者名と同じ書き方に）","単価がありません"),IF(AND(ISNUMBER(J855),NOT(ISNUMBER(F855))),"数量がありません","金額がありません")),IF(NOT(ISNUMBER(A855)),"日付がありません（月別集計に入りません）",IF(AND(ISNUMBER(F855),ISNUMBER(J855),ISNUMBER(I855)),"数量×単価を使いました（金額の欄は使っていません）","")))))))</f>
        <v/>
      </c>
      <c r="N855" s="91">
        <f>IF(AND(B855&lt;&gt;"",B855='案件カード'!$C$3),COUNTIF($B$5:B855,'案件カード'!$C$3),"")</f>
        <v/>
      </c>
      <c r="O855" s="91">
        <f>IF(ISNUMBER(K855),IF(B855="",K855,IF(AND(ISNUMBER(MATCH(B855,'案件'!$A$6:$A$105,0)),OR(D855="材料費",D855="労務費",D855="外注費",D855="経費")),0,K855)),0)</f>
        <v/>
      </c>
    </row>
    <row r="856" ht="16" customHeight="1">
      <c r="A856" s="35" t="n"/>
      <c r="B856" s="36" t="n"/>
      <c r="C856" s="37">
        <f>IF(B856="","",IFERROR(INDEX('案件'!$B$6:$B$105,MATCH(B856,'案件'!$A$6:$A$105,0))&amp;"","（案件シートに無い番号）"))</f>
        <v/>
      </c>
      <c r="D856" s="36" t="n"/>
      <c r="E856" s="38" t="n"/>
      <c r="F856" s="39" t="n"/>
      <c r="G856" s="36" t="n"/>
      <c r="H856" s="40" t="n"/>
      <c r="I856" s="40" t="n"/>
      <c r="J856" s="41">
        <f>IF(ISNUMBER(H856),H856,IF(AND(D856="労務費",TRIM(E856)&lt;&gt;""),IFERROR(INDEX('設定'!$G$12:$G$31,MATCH(TRIM(E856),'設定'!$J$12:$J$31,0)),""),""))</f>
        <v/>
      </c>
      <c r="K856" s="30">
        <f>IF(AND(ISNUMBER(F856),ISNUMBER(J856)),ROUND(F856*J856,0),IF(ISNUMBER(I856),I856,""))</f>
        <v/>
      </c>
      <c r="L856" s="33" t="n"/>
      <c r="M856" s="34">
        <f>IF(COUNTA(A856:B856,D856:I856,L856)=0,"",IF(B856="","案件番号がありません",IF(ISNA(MATCH(B856,'案件'!$A$6:$A$105,0)),"案件シートに無い番号です",IF(NOT(OR(D856="材料費",D856="労務費",D856="外注費",D856="経費")),"費目を4つから選んでください",IF(K856="",IF(AND(ISNUMBER(F856),NOT(ISNUMBER(J856))),IF(D856="労務費","単価がありません（設定の作業者名と同じ書き方に）","単価がありません"),IF(AND(ISNUMBER(J856),NOT(ISNUMBER(F856))),"数量がありません","金額がありません")),IF(NOT(ISNUMBER(A856)),"日付がありません（月別集計に入りません）",IF(AND(ISNUMBER(F856),ISNUMBER(J856),ISNUMBER(I856)),"数量×単価を使いました（金額の欄は使っていません）","")))))))</f>
        <v/>
      </c>
      <c r="N856" s="91">
        <f>IF(AND(B856&lt;&gt;"",B856='案件カード'!$C$3),COUNTIF($B$5:B856,'案件カード'!$C$3),"")</f>
        <v/>
      </c>
      <c r="O856" s="91">
        <f>IF(ISNUMBER(K856),IF(B856="",K856,IF(AND(ISNUMBER(MATCH(B856,'案件'!$A$6:$A$105,0)),OR(D856="材料費",D856="労務費",D856="外注費",D856="経費")),0,K856)),0)</f>
        <v/>
      </c>
    </row>
    <row r="857" ht="16" customHeight="1">
      <c r="A857" s="35" t="n"/>
      <c r="B857" s="36" t="n"/>
      <c r="C857" s="37">
        <f>IF(B857="","",IFERROR(INDEX('案件'!$B$6:$B$105,MATCH(B857,'案件'!$A$6:$A$105,0))&amp;"","（案件シートに無い番号）"))</f>
        <v/>
      </c>
      <c r="D857" s="36" t="n"/>
      <c r="E857" s="38" t="n"/>
      <c r="F857" s="39" t="n"/>
      <c r="G857" s="36" t="n"/>
      <c r="H857" s="40" t="n"/>
      <c r="I857" s="40" t="n"/>
      <c r="J857" s="41">
        <f>IF(ISNUMBER(H857),H857,IF(AND(D857="労務費",TRIM(E857)&lt;&gt;""),IFERROR(INDEX('設定'!$G$12:$G$31,MATCH(TRIM(E857),'設定'!$J$12:$J$31,0)),""),""))</f>
        <v/>
      </c>
      <c r="K857" s="30">
        <f>IF(AND(ISNUMBER(F857),ISNUMBER(J857)),ROUND(F857*J857,0),IF(ISNUMBER(I857),I857,""))</f>
        <v/>
      </c>
      <c r="L857" s="33" t="n"/>
      <c r="M857" s="34">
        <f>IF(COUNTA(A857:B857,D857:I857,L857)=0,"",IF(B857="","案件番号がありません",IF(ISNA(MATCH(B857,'案件'!$A$6:$A$105,0)),"案件シートに無い番号です",IF(NOT(OR(D857="材料費",D857="労務費",D857="外注費",D857="経費")),"費目を4つから選んでください",IF(K857="",IF(AND(ISNUMBER(F857),NOT(ISNUMBER(J857))),IF(D857="労務費","単価がありません（設定の作業者名と同じ書き方に）","単価がありません"),IF(AND(ISNUMBER(J857),NOT(ISNUMBER(F857))),"数量がありません","金額がありません")),IF(NOT(ISNUMBER(A857)),"日付がありません（月別集計に入りません）",IF(AND(ISNUMBER(F857),ISNUMBER(J857),ISNUMBER(I857)),"数量×単価を使いました（金額の欄は使っていません）","")))))))</f>
        <v/>
      </c>
      <c r="N857" s="91">
        <f>IF(AND(B857&lt;&gt;"",B857='案件カード'!$C$3),COUNTIF($B$5:B857,'案件カード'!$C$3),"")</f>
        <v/>
      </c>
      <c r="O857" s="91">
        <f>IF(ISNUMBER(K857),IF(B857="",K857,IF(AND(ISNUMBER(MATCH(B857,'案件'!$A$6:$A$105,0)),OR(D857="材料費",D857="労務費",D857="外注費",D857="経費")),0,K857)),0)</f>
        <v/>
      </c>
    </row>
    <row r="858" ht="16" customHeight="1">
      <c r="A858" s="35" t="n"/>
      <c r="B858" s="36" t="n"/>
      <c r="C858" s="37">
        <f>IF(B858="","",IFERROR(INDEX('案件'!$B$6:$B$105,MATCH(B858,'案件'!$A$6:$A$105,0))&amp;"","（案件シートに無い番号）"))</f>
        <v/>
      </c>
      <c r="D858" s="36" t="n"/>
      <c r="E858" s="38" t="n"/>
      <c r="F858" s="39" t="n"/>
      <c r="G858" s="36" t="n"/>
      <c r="H858" s="40" t="n"/>
      <c r="I858" s="40" t="n"/>
      <c r="J858" s="41">
        <f>IF(ISNUMBER(H858),H858,IF(AND(D858="労務費",TRIM(E858)&lt;&gt;""),IFERROR(INDEX('設定'!$G$12:$G$31,MATCH(TRIM(E858),'設定'!$J$12:$J$31,0)),""),""))</f>
        <v/>
      </c>
      <c r="K858" s="30">
        <f>IF(AND(ISNUMBER(F858),ISNUMBER(J858)),ROUND(F858*J858,0),IF(ISNUMBER(I858),I858,""))</f>
        <v/>
      </c>
      <c r="L858" s="33" t="n"/>
      <c r="M858" s="34">
        <f>IF(COUNTA(A858:B858,D858:I858,L858)=0,"",IF(B858="","案件番号がありません",IF(ISNA(MATCH(B858,'案件'!$A$6:$A$105,0)),"案件シートに無い番号です",IF(NOT(OR(D858="材料費",D858="労務費",D858="外注費",D858="経費")),"費目を4つから選んでください",IF(K858="",IF(AND(ISNUMBER(F858),NOT(ISNUMBER(J858))),IF(D858="労務費","単価がありません（設定の作業者名と同じ書き方に）","単価がありません"),IF(AND(ISNUMBER(J858),NOT(ISNUMBER(F858))),"数量がありません","金額がありません")),IF(NOT(ISNUMBER(A858)),"日付がありません（月別集計に入りません）",IF(AND(ISNUMBER(F858),ISNUMBER(J858),ISNUMBER(I858)),"数量×単価を使いました（金額の欄は使っていません）","")))))))</f>
        <v/>
      </c>
      <c r="N858" s="91">
        <f>IF(AND(B858&lt;&gt;"",B858='案件カード'!$C$3),COUNTIF($B$5:B858,'案件カード'!$C$3),"")</f>
        <v/>
      </c>
      <c r="O858" s="91">
        <f>IF(ISNUMBER(K858),IF(B858="",K858,IF(AND(ISNUMBER(MATCH(B858,'案件'!$A$6:$A$105,0)),OR(D858="材料費",D858="労務費",D858="外注費",D858="経費")),0,K858)),0)</f>
        <v/>
      </c>
    </row>
    <row r="859" ht="16" customHeight="1">
      <c r="A859" s="35" t="n"/>
      <c r="B859" s="36" t="n"/>
      <c r="C859" s="37">
        <f>IF(B859="","",IFERROR(INDEX('案件'!$B$6:$B$105,MATCH(B859,'案件'!$A$6:$A$105,0))&amp;"","（案件シートに無い番号）"))</f>
        <v/>
      </c>
      <c r="D859" s="36" t="n"/>
      <c r="E859" s="38" t="n"/>
      <c r="F859" s="39" t="n"/>
      <c r="G859" s="36" t="n"/>
      <c r="H859" s="40" t="n"/>
      <c r="I859" s="40" t="n"/>
      <c r="J859" s="41">
        <f>IF(ISNUMBER(H859),H859,IF(AND(D859="労務費",TRIM(E859)&lt;&gt;""),IFERROR(INDEX('設定'!$G$12:$G$31,MATCH(TRIM(E859),'設定'!$J$12:$J$31,0)),""),""))</f>
        <v/>
      </c>
      <c r="K859" s="30">
        <f>IF(AND(ISNUMBER(F859),ISNUMBER(J859)),ROUND(F859*J859,0),IF(ISNUMBER(I859),I859,""))</f>
        <v/>
      </c>
      <c r="L859" s="33" t="n"/>
      <c r="M859" s="34">
        <f>IF(COUNTA(A859:B859,D859:I859,L859)=0,"",IF(B859="","案件番号がありません",IF(ISNA(MATCH(B859,'案件'!$A$6:$A$105,0)),"案件シートに無い番号です",IF(NOT(OR(D859="材料費",D859="労務費",D859="外注費",D859="経費")),"費目を4つから選んでください",IF(K859="",IF(AND(ISNUMBER(F859),NOT(ISNUMBER(J859))),IF(D859="労務費","単価がありません（設定の作業者名と同じ書き方に）","単価がありません"),IF(AND(ISNUMBER(J859),NOT(ISNUMBER(F859))),"数量がありません","金額がありません")),IF(NOT(ISNUMBER(A859)),"日付がありません（月別集計に入りません）",IF(AND(ISNUMBER(F859),ISNUMBER(J859),ISNUMBER(I859)),"数量×単価を使いました（金額の欄は使っていません）","")))))))</f>
        <v/>
      </c>
      <c r="N859" s="91">
        <f>IF(AND(B859&lt;&gt;"",B859='案件カード'!$C$3),COUNTIF($B$5:B859,'案件カード'!$C$3),"")</f>
        <v/>
      </c>
      <c r="O859" s="91">
        <f>IF(ISNUMBER(K859),IF(B859="",K859,IF(AND(ISNUMBER(MATCH(B859,'案件'!$A$6:$A$105,0)),OR(D859="材料費",D859="労務費",D859="外注費",D859="経費")),0,K859)),0)</f>
        <v/>
      </c>
    </row>
    <row r="860" ht="16" customHeight="1">
      <c r="A860" s="35" t="n"/>
      <c r="B860" s="36" t="n"/>
      <c r="C860" s="37">
        <f>IF(B860="","",IFERROR(INDEX('案件'!$B$6:$B$105,MATCH(B860,'案件'!$A$6:$A$105,0))&amp;"","（案件シートに無い番号）"))</f>
        <v/>
      </c>
      <c r="D860" s="36" t="n"/>
      <c r="E860" s="38" t="n"/>
      <c r="F860" s="39" t="n"/>
      <c r="G860" s="36" t="n"/>
      <c r="H860" s="40" t="n"/>
      <c r="I860" s="40" t="n"/>
      <c r="J860" s="41">
        <f>IF(ISNUMBER(H860),H860,IF(AND(D860="労務費",TRIM(E860)&lt;&gt;""),IFERROR(INDEX('設定'!$G$12:$G$31,MATCH(TRIM(E860),'設定'!$J$12:$J$31,0)),""),""))</f>
        <v/>
      </c>
      <c r="K860" s="30">
        <f>IF(AND(ISNUMBER(F860),ISNUMBER(J860)),ROUND(F860*J860,0),IF(ISNUMBER(I860),I860,""))</f>
        <v/>
      </c>
      <c r="L860" s="33" t="n"/>
      <c r="M860" s="34">
        <f>IF(COUNTA(A860:B860,D860:I860,L860)=0,"",IF(B860="","案件番号がありません",IF(ISNA(MATCH(B860,'案件'!$A$6:$A$105,0)),"案件シートに無い番号です",IF(NOT(OR(D860="材料費",D860="労務費",D860="外注費",D860="経費")),"費目を4つから選んでください",IF(K860="",IF(AND(ISNUMBER(F860),NOT(ISNUMBER(J860))),IF(D860="労務費","単価がありません（設定の作業者名と同じ書き方に）","単価がありません"),IF(AND(ISNUMBER(J860),NOT(ISNUMBER(F860))),"数量がありません","金額がありません")),IF(NOT(ISNUMBER(A860)),"日付がありません（月別集計に入りません）",IF(AND(ISNUMBER(F860),ISNUMBER(J860),ISNUMBER(I860)),"数量×単価を使いました（金額の欄は使っていません）","")))))))</f>
        <v/>
      </c>
      <c r="N860" s="91">
        <f>IF(AND(B860&lt;&gt;"",B860='案件カード'!$C$3),COUNTIF($B$5:B860,'案件カード'!$C$3),"")</f>
        <v/>
      </c>
      <c r="O860" s="91">
        <f>IF(ISNUMBER(K860),IF(B860="",K860,IF(AND(ISNUMBER(MATCH(B860,'案件'!$A$6:$A$105,0)),OR(D860="材料費",D860="労務費",D860="外注費",D860="経費")),0,K860)),0)</f>
        <v/>
      </c>
    </row>
    <row r="861" ht="16" customHeight="1">
      <c r="A861" s="35" t="n"/>
      <c r="B861" s="36" t="n"/>
      <c r="C861" s="37">
        <f>IF(B861="","",IFERROR(INDEX('案件'!$B$6:$B$105,MATCH(B861,'案件'!$A$6:$A$105,0))&amp;"","（案件シートに無い番号）"))</f>
        <v/>
      </c>
      <c r="D861" s="36" t="n"/>
      <c r="E861" s="38" t="n"/>
      <c r="F861" s="39" t="n"/>
      <c r="G861" s="36" t="n"/>
      <c r="H861" s="40" t="n"/>
      <c r="I861" s="40" t="n"/>
      <c r="J861" s="41">
        <f>IF(ISNUMBER(H861),H861,IF(AND(D861="労務費",TRIM(E861)&lt;&gt;""),IFERROR(INDEX('設定'!$G$12:$G$31,MATCH(TRIM(E861),'設定'!$J$12:$J$31,0)),""),""))</f>
        <v/>
      </c>
      <c r="K861" s="30">
        <f>IF(AND(ISNUMBER(F861),ISNUMBER(J861)),ROUND(F861*J861,0),IF(ISNUMBER(I861),I861,""))</f>
        <v/>
      </c>
      <c r="L861" s="33" t="n"/>
      <c r="M861" s="34">
        <f>IF(COUNTA(A861:B861,D861:I861,L861)=0,"",IF(B861="","案件番号がありません",IF(ISNA(MATCH(B861,'案件'!$A$6:$A$105,0)),"案件シートに無い番号です",IF(NOT(OR(D861="材料費",D861="労務費",D861="外注費",D861="経費")),"費目を4つから選んでください",IF(K861="",IF(AND(ISNUMBER(F861),NOT(ISNUMBER(J861))),IF(D861="労務費","単価がありません（設定の作業者名と同じ書き方に）","単価がありません"),IF(AND(ISNUMBER(J861),NOT(ISNUMBER(F861))),"数量がありません","金額がありません")),IF(NOT(ISNUMBER(A861)),"日付がありません（月別集計に入りません）",IF(AND(ISNUMBER(F861),ISNUMBER(J861),ISNUMBER(I861)),"数量×単価を使いました（金額の欄は使っていません）","")))))))</f>
        <v/>
      </c>
      <c r="N861" s="91">
        <f>IF(AND(B861&lt;&gt;"",B861='案件カード'!$C$3),COUNTIF($B$5:B861,'案件カード'!$C$3),"")</f>
        <v/>
      </c>
      <c r="O861" s="91">
        <f>IF(ISNUMBER(K861),IF(B861="",K861,IF(AND(ISNUMBER(MATCH(B861,'案件'!$A$6:$A$105,0)),OR(D861="材料費",D861="労務費",D861="外注費",D861="経費")),0,K861)),0)</f>
        <v/>
      </c>
    </row>
    <row r="862" ht="16" customHeight="1">
      <c r="A862" s="35" t="n"/>
      <c r="B862" s="36" t="n"/>
      <c r="C862" s="37">
        <f>IF(B862="","",IFERROR(INDEX('案件'!$B$6:$B$105,MATCH(B862,'案件'!$A$6:$A$105,0))&amp;"","（案件シートに無い番号）"))</f>
        <v/>
      </c>
      <c r="D862" s="36" t="n"/>
      <c r="E862" s="38" t="n"/>
      <c r="F862" s="39" t="n"/>
      <c r="G862" s="36" t="n"/>
      <c r="H862" s="40" t="n"/>
      <c r="I862" s="40" t="n"/>
      <c r="J862" s="41">
        <f>IF(ISNUMBER(H862),H862,IF(AND(D862="労務費",TRIM(E862)&lt;&gt;""),IFERROR(INDEX('設定'!$G$12:$G$31,MATCH(TRIM(E862),'設定'!$J$12:$J$31,0)),""),""))</f>
        <v/>
      </c>
      <c r="K862" s="30">
        <f>IF(AND(ISNUMBER(F862),ISNUMBER(J862)),ROUND(F862*J862,0),IF(ISNUMBER(I862),I862,""))</f>
        <v/>
      </c>
      <c r="L862" s="33" t="n"/>
      <c r="M862" s="34">
        <f>IF(COUNTA(A862:B862,D862:I862,L862)=0,"",IF(B862="","案件番号がありません",IF(ISNA(MATCH(B862,'案件'!$A$6:$A$105,0)),"案件シートに無い番号です",IF(NOT(OR(D862="材料費",D862="労務費",D862="外注費",D862="経費")),"費目を4つから選んでください",IF(K862="",IF(AND(ISNUMBER(F862),NOT(ISNUMBER(J862))),IF(D862="労務費","単価がありません（設定の作業者名と同じ書き方に）","単価がありません"),IF(AND(ISNUMBER(J862),NOT(ISNUMBER(F862))),"数量がありません","金額がありません")),IF(NOT(ISNUMBER(A862)),"日付がありません（月別集計に入りません）",IF(AND(ISNUMBER(F862),ISNUMBER(J862),ISNUMBER(I862)),"数量×単価を使いました（金額の欄は使っていません）","")))))))</f>
        <v/>
      </c>
      <c r="N862" s="91">
        <f>IF(AND(B862&lt;&gt;"",B862='案件カード'!$C$3),COUNTIF($B$5:B862,'案件カード'!$C$3),"")</f>
        <v/>
      </c>
      <c r="O862" s="91">
        <f>IF(ISNUMBER(K862),IF(B862="",K862,IF(AND(ISNUMBER(MATCH(B862,'案件'!$A$6:$A$105,0)),OR(D862="材料費",D862="労務費",D862="外注費",D862="経費")),0,K862)),0)</f>
        <v/>
      </c>
    </row>
    <row r="863" ht="16" customHeight="1">
      <c r="A863" s="35" t="n"/>
      <c r="B863" s="36" t="n"/>
      <c r="C863" s="37">
        <f>IF(B863="","",IFERROR(INDEX('案件'!$B$6:$B$105,MATCH(B863,'案件'!$A$6:$A$105,0))&amp;"","（案件シートに無い番号）"))</f>
        <v/>
      </c>
      <c r="D863" s="36" t="n"/>
      <c r="E863" s="38" t="n"/>
      <c r="F863" s="39" t="n"/>
      <c r="G863" s="36" t="n"/>
      <c r="H863" s="40" t="n"/>
      <c r="I863" s="40" t="n"/>
      <c r="J863" s="41">
        <f>IF(ISNUMBER(H863),H863,IF(AND(D863="労務費",TRIM(E863)&lt;&gt;""),IFERROR(INDEX('設定'!$G$12:$G$31,MATCH(TRIM(E863),'設定'!$J$12:$J$31,0)),""),""))</f>
        <v/>
      </c>
      <c r="K863" s="30">
        <f>IF(AND(ISNUMBER(F863),ISNUMBER(J863)),ROUND(F863*J863,0),IF(ISNUMBER(I863),I863,""))</f>
        <v/>
      </c>
      <c r="L863" s="33" t="n"/>
      <c r="M863" s="34">
        <f>IF(COUNTA(A863:B863,D863:I863,L863)=0,"",IF(B863="","案件番号がありません",IF(ISNA(MATCH(B863,'案件'!$A$6:$A$105,0)),"案件シートに無い番号です",IF(NOT(OR(D863="材料費",D863="労務費",D863="外注費",D863="経費")),"費目を4つから選んでください",IF(K863="",IF(AND(ISNUMBER(F863),NOT(ISNUMBER(J863))),IF(D863="労務費","単価がありません（設定の作業者名と同じ書き方に）","単価がありません"),IF(AND(ISNUMBER(J863),NOT(ISNUMBER(F863))),"数量がありません","金額がありません")),IF(NOT(ISNUMBER(A863)),"日付がありません（月別集計に入りません）",IF(AND(ISNUMBER(F863),ISNUMBER(J863),ISNUMBER(I863)),"数量×単価を使いました（金額の欄は使っていません）","")))))))</f>
        <v/>
      </c>
      <c r="N863" s="91">
        <f>IF(AND(B863&lt;&gt;"",B863='案件カード'!$C$3),COUNTIF($B$5:B863,'案件カード'!$C$3),"")</f>
        <v/>
      </c>
      <c r="O863" s="91">
        <f>IF(ISNUMBER(K863),IF(B863="",K863,IF(AND(ISNUMBER(MATCH(B863,'案件'!$A$6:$A$105,0)),OR(D863="材料費",D863="労務費",D863="外注費",D863="経費")),0,K863)),0)</f>
        <v/>
      </c>
    </row>
    <row r="864" ht="16" customHeight="1">
      <c r="A864" s="35" t="n"/>
      <c r="B864" s="36" t="n"/>
      <c r="C864" s="37">
        <f>IF(B864="","",IFERROR(INDEX('案件'!$B$6:$B$105,MATCH(B864,'案件'!$A$6:$A$105,0))&amp;"","（案件シートに無い番号）"))</f>
        <v/>
      </c>
      <c r="D864" s="36" t="n"/>
      <c r="E864" s="38" t="n"/>
      <c r="F864" s="39" t="n"/>
      <c r="G864" s="36" t="n"/>
      <c r="H864" s="40" t="n"/>
      <c r="I864" s="40" t="n"/>
      <c r="J864" s="41">
        <f>IF(ISNUMBER(H864),H864,IF(AND(D864="労務費",TRIM(E864)&lt;&gt;""),IFERROR(INDEX('設定'!$G$12:$G$31,MATCH(TRIM(E864),'設定'!$J$12:$J$31,0)),""),""))</f>
        <v/>
      </c>
      <c r="K864" s="30">
        <f>IF(AND(ISNUMBER(F864),ISNUMBER(J864)),ROUND(F864*J864,0),IF(ISNUMBER(I864),I864,""))</f>
        <v/>
      </c>
      <c r="L864" s="33" t="n"/>
      <c r="M864" s="34">
        <f>IF(COUNTA(A864:B864,D864:I864,L864)=0,"",IF(B864="","案件番号がありません",IF(ISNA(MATCH(B864,'案件'!$A$6:$A$105,0)),"案件シートに無い番号です",IF(NOT(OR(D864="材料費",D864="労務費",D864="外注費",D864="経費")),"費目を4つから選んでください",IF(K864="",IF(AND(ISNUMBER(F864),NOT(ISNUMBER(J864))),IF(D864="労務費","単価がありません（設定の作業者名と同じ書き方に）","単価がありません"),IF(AND(ISNUMBER(J864),NOT(ISNUMBER(F864))),"数量がありません","金額がありません")),IF(NOT(ISNUMBER(A864)),"日付がありません（月別集計に入りません）",IF(AND(ISNUMBER(F864),ISNUMBER(J864),ISNUMBER(I864)),"数量×単価を使いました（金額の欄は使っていません）","")))))))</f>
        <v/>
      </c>
      <c r="N864" s="91">
        <f>IF(AND(B864&lt;&gt;"",B864='案件カード'!$C$3),COUNTIF($B$5:B864,'案件カード'!$C$3),"")</f>
        <v/>
      </c>
      <c r="O864" s="91">
        <f>IF(ISNUMBER(K864),IF(B864="",K864,IF(AND(ISNUMBER(MATCH(B864,'案件'!$A$6:$A$105,0)),OR(D864="材料費",D864="労務費",D864="外注費",D864="経費")),0,K864)),0)</f>
        <v/>
      </c>
    </row>
    <row r="865" ht="16" customHeight="1">
      <c r="A865" s="35" t="n"/>
      <c r="B865" s="36" t="n"/>
      <c r="C865" s="37">
        <f>IF(B865="","",IFERROR(INDEX('案件'!$B$6:$B$105,MATCH(B865,'案件'!$A$6:$A$105,0))&amp;"","（案件シートに無い番号）"))</f>
        <v/>
      </c>
      <c r="D865" s="36" t="n"/>
      <c r="E865" s="38" t="n"/>
      <c r="F865" s="39" t="n"/>
      <c r="G865" s="36" t="n"/>
      <c r="H865" s="40" t="n"/>
      <c r="I865" s="40" t="n"/>
      <c r="J865" s="41">
        <f>IF(ISNUMBER(H865),H865,IF(AND(D865="労務費",TRIM(E865)&lt;&gt;""),IFERROR(INDEX('設定'!$G$12:$G$31,MATCH(TRIM(E865),'設定'!$J$12:$J$31,0)),""),""))</f>
        <v/>
      </c>
      <c r="K865" s="30">
        <f>IF(AND(ISNUMBER(F865),ISNUMBER(J865)),ROUND(F865*J865,0),IF(ISNUMBER(I865),I865,""))</f>
        <v/>
      </c>
      <c r="L865" s="33" t="n"/>
      <c r="M865" s="34">
        <f>IF(COUNTA(A865:B865,D865:I865,L865)=0,"",IF(B865="","案件番号がありません",IF(ISNA(MATCH(B865,'案件'!$A$6:$A$105,0)),"案件シートに無い番号です",IF(NOT(OR(D865="材料費",D865="労務費",D865="外注費",D865="経費")),"費目を4つから選んでください",IF(K865="",IF(AND(ISNUMBER(F865),NOT(ISNUMBER(J865))),IF(D865="労務費","単価がありません（設定の作業者名と同じ書き方に）","単価がありません"),IF(AND(ISNUMBER(J865),NOT(ISNUMBER(F865))),"数量がありません","金額がありません")),IF(NOT(ISNUMBER(A865)),"日付がありません（月別集計に入りません）",IF(AND(ISNUMBER(F865),ISNUMBER(J865),ISNUMBER(I865)),"数量×単価を使いました（金額の欄は使っていません）","")))))))</f>
        <v/>
      </c>
      <c r="N865" s="91">
        <f>IF(AND(B865&lt;&gt;"",B865='案件カード'!$C$3),COUNTIF($B$5:B865,'案件カード'!$C$3),"")</f>
        <v/>
      </c>
      <c r="O865" s="91">
        <f>IF(ISNUMBER(K865),IF(B865="",K865,IF(AND(ISNUMBER(MATCH(B865,'案件'!$A$6:$A$105,0)),OR(D865="材料費",D865="労務費",D865="外注費",D865="経費")),0,K865)),0)</f>
        <v/>
      </c>
    </row>
    <row r="866" ht="16" customHeight="1">
      <c r="A866" s="35" t="n"/>
      <c r="B866" s="36" t="n"/>
      <c r="C866" s="37">
        <f>IF(B866="","",IFERROR(INDEX('案件'!$B$6:$B$105,MATCH(B866,'案件'!$A$6:$A$105,0))&amp;"","（案件シートに無い番号）"))</f>
        <v/>
      </c>
      <c r="D866" s="36" t="n"/>
      <c r="E866" s="38" t="n"/>
      <c r="F866" s="39" t="n"/>
      <c r="G866" s="36" t="n"/>
      <c r="H866" s="40" t="n"/>
      <c r="I866" s="40" t="n"/>
      <c r="J866" s="41">
        <f>IF(ISNUMBER(H866),H866,IF(AND(D866="労務費",TRIM(E866)&lt;&gt;""),IFERROR(INDEX('設定'!$G$12:$G$31,MATCH(TRIM(E866),'設定'!$J$12:$J$31,0)),""),""))</f>
        <v/>
      </c>
      <c r="K866" s="30">
        <f>IF(AND(ISNUMBER(F866),ISNUMBER(J866)),ROUND(F866*J866,0),IF(ISNUMBER(I866),I866,""))</f>
        <v/>
      </c>
      <c r="L866" s="33" t="n"/>
      <c r="M866" s="34">
        <f>IF(COUNTA(A866:B866,D866:I866,L866)=0,"",IF(B866="","案件番号がありません",IF(ISNA(MATCH(B866,'案件'!$A$6:$A$105,0)),"案件シートに無い番号です",IF(NOT(OR(D866="材料費",D866="労務費",D866="外注費",D866="経費")),"費目を4つから選んでください",IF(K866="",IF(AND(ISNUMBER(F866),NOT(ISNUMBER(J866))),IF(D866="労務費","単価がありません（設定の作業者名と同じ書き方に）","単価がありません"),IF(AND(ISNUMBER(J866),NOT(ISNUMBER(F866))),"数量がありません","金額がありません")),IF(NOT(ISNUMBER(A866)),"日付がありません（月別集計に入りません）",IF(AND(ISNUMBER(F866),ISNUMBER(J866),ISNUMBER(I866)),"数量×単価を使いました（金額の欄は使っていません）","")))))))</f>
        <v/>
      </c>
      <c r="N866" s="91">
        <f>IF(AND(B866&lt;&gt;"",B866='案件カード'!$C$3),COUNTIF($B$5:B866,'案件カード'!$C$3),"")</f>
        <v/>
      </c>
      <c r="O866" s="91">
        <f>IF(ISNUMBER(K866),IF(B866="",K866,IF(AND(ISNUMBER(MATCH(B866,'案件'!$A$6:$A$105,0)),OR(D866="材料費",D866="労務費",D866="外注費",D866="経費")),0,K866)),0)</f>
        <v/>
      </c>
    </row>
    <row r="867" ht="16" customHeight="1">
      <c r="A867" s="35" t="n"/>
      <c r="B867" s="36" t="n"/>
      <c r="C867" s="37">
        <f>IF(B867="","",IFERROR(INDEX('案件'!$B$6:$B$105,MATCH(B867,'案件'!$A$6:$A$105,0))&amp;"","（案件シートに無い番号）"))</f>
        <v/>
      </c>
      <c r="D867" s="36" t="n"/>
      <c r="E867" s="38" t="n"/>
      <c r="F867" s="39" t="n"/>
      <c r="G867" s="36" t="n"/>
      <c r="H867" s="40" t="n"/>
      <c r="I867" s="40" t="n"/>
      <c r="J867" s="41">
        <f>IF(ISNUMBER(H867),H867,IF(AND(D867="労務費",TRIM(E867)&lt;&gt;""),IFERROR(INDEX('設定'!$G$12:$G$31,MATCH(TRIM(E867),'設定'!$J$12:$J$31,0)),""),""))</f>
        <v/>
      </c>
      <c r="K867" s="30">
        <f>IF(AND(ISNUMBER(F867),ISNUMBER(J867)),ROUND(F867*J867,0),IF(ISNUMBER(I867),I867,""))</f>
        <v/>
      </c>
      <c r="L867" s="33" t="n"/>
      <c r="M867" s="34">
        <f>IF(COUNTA(A867:B867,D867:I867,L867)=0,"",IF(B867="","案件番号がありません",IF(ISNA(MATCH(B867,'案件'!$A$6:$A$105,0)),"案件シートに無い番号です",IF(NOT(OR(D867="材料費",D867="労務費",D867="外注費",D867="経費")),"費目を4つから選んでください",IF(K867="",IF(AND(ISNUMBER(F867),NOT(ISNUMBER(J867))),IF(D867="労務費","単価がありません（設定の作業者名と同じ書き方に）","単価がありません"),IF(AND(ISNUMBER(J867),NOT(ISNUMBER(F867))),"数量がありません","金額がありません")),IF(NOT(ISNUMBER(A867)),"日付がありません（月別集計に入りません）",IF(AND(ISNUMBER(F867),ISNUMBER(J867),ISNUMBER(I867)),"数量×単価を使いました（金額の欄は使っていません）","")))))))</f>
        <v/>
      </c>
      <c r="N867" s="91">
        <f>IF(AND(B867&lt;&gt;"",B867='案件カード'!$C$3),COUNTIF($B$5:B867,'案件カード'!$C$3),"")</f>
        <v/>
      </c>
      <c r="O867" s="91">
        <f>IF(ISNUMBER(K867),IF(B867="",K867,IF(AND(ISNUMBER(MATCH(B867,'案件'!$A$6:$A$105,0)),OR(D867="材料費",D867="労務費",D867="外注費",D867="経費")),0,K867)),0)</f>
        <v/>
      </c>
    </row>
    <row r="868" ht="16" customHeight="1">
      <c r="A868" s="35" t="n"/>
      <c r="B868" s="36" t="n"/>
      <c r="C868" s="37">
        <f>IF(B868="","",IFERROR(INDEX('案件'!$B$6:$B$105,MATCH(B868,'案件'!$A$6:$A$105,0))&amp;"","（案件シートに無い番号）"))</f>
        <v/>
      </c>
      <c r="D868" s="36" t="n"/>
      <c r="E868" s="38" t="n"/>
      <c r="F868" s="39" t="n"/>
      <c r="G868" s="36" t="n"/>
      <c r="H868" s="40" t="n"/>
      <c r="I868" s="40" t="n"/>
      <c r="J868" s="41">
        <f>IF(ISNUMBER(H868),H868,IF(AND(D868="労務費",TRIM(E868)&lt;&gt;""),IFERROR(INDEX('設定'!$G$12:$G$31,MATCH(TRIM(E868),'設定'!$J$12:$J$31,0)),""),""))</f>
        <v/>
      </c>
      <c r="K868" s="30">
        <f>IF(AND(ISNUMBER(F868),ISNUMBER(J868)),ROUND(F868*J868,0),IF(ISNUMBER(I868),I868,""))</f>
        <v/>
      </c>
      <c r="L868" s="33" t="n"/>
      <c r="M868" s="34">
        <f>IF(COUNTA(A868:B868,D868:I868,L868)=0,"",IF(B868="","案件番号がありません",IF(ISNA(MATCH(B868,'案件'!$A$6:$A$105,0)),"案件シートに無い番号です",IF(NOT(OR(D868="材料費",D868="労務費",D868="外注費",D868="経費")),"費目を4つから選んでください",IF(K868="",IF(AND(ISNUMBER(F868),NOT(ISNUMBER(J868))),IF(D868="労務費","単価がありません（設定の作業者名と同じ書き方に）","単価がありません"),IF(AND(ISNUMBER(J868),NOT(ISNUMBER(F868))),"数量がありません","金額がありません")),IF(NOT(ISNUMBER(A868)),"日付がありません（月別集計に入りません）",IF(AND(ISNUMBER(F868),ISNUMBER(J868),ISNUMBER(I868)),"数量×単価を使いました（金額の欄は使っていません）","")))))))</f>
        <v/>
      </c>
      <c r="N868" s="91">
        <f>IF(AND(B868&lt;&gt;"",B868='案件カード'!$C$3),COUNTIF($B$5:B868,'案件カード'!$C$3),"")</f>
        <v/>
      </c>
      <c r="O868" s="91">
        <f>IF(ISNUMBER(K868),IF(B868="",K868,IF(AND(ISNUMBER(MATCH(B868,'案件'!$A$6:$A$105,0)),OR(D868="材料費",D868="労務費",D868="外注費",D868="経費")),0,K868)),0)</f>
        <v/>
      </c>
    </row>
    <row r="869" ht="16" customHeight="1">
      <c r="A869" s="35" t="n"/>
      <c r="B869" s="36" t="n"/>
      <c r="C869" s="37">
        <f>IF(B869="","",IFERROR(INDEX('案件'!$B$6:$B$105,MATCH(B869,'案件'!$A$6:$A$105,0))&amp;"","（案件シートに無い番号）"))</f>
        <v/>
      </c>
      <c r="D869" s="36" t="n"/>
      <c r="E869" s="38" t="n"/>
      <c r="F869" s="39" t="n"/>
      <c r="G869" s="36" t="n"/>
      <c r="H869" s="40" t="n"/>
      <c r="I869" s="40" t="n"/>
      <c r="J869" s="41">
        <f>IF(ISNUMBER(H869),H869,IF(AND(D869="労務費",TRIM(E869)&lt;&gt;""),IFERROR(INDEX('設定'!$G$12:$G$31,MATCH(TRIM(E869),'設定'!$J$12:$J$31,0)),""),""))</f>
        <v/>
      </c>
      <c r="K869" s="30">
        <f>IF(AND(ISNUMBER(F869),ISNUMBER(J869)),ROUND(F869*J869,0),IF(ISNUMBER(I869),I869,""))</f>
        <v/>
      </c>
      <c r="L869" s="33" t="n"/>
      <c r="M869" s="34">
        <f>IF(COUNTA(A869:B869,D869:I869,L869)=0,"",IF(B869="","案件番号がありません",IF(ISNA(MATCH(B869,'案件'!$A$6:$A$105,0)),"案件シートに無い番号です",IF(NOT(OR(D869="材料費",D869="労務費",D869="外注費",D869="経費")),"費目を4つから選んでください",IF(K869="",IF(AND(ISNUMBER(F869),NOT(ISNUMBER(J869))),IF(D869="労務費","単価がありません（設定の作業者名と同じ書き方に）","単価がありません"),IF(AND(ISNUMBER(J869),NOT(ISNUMBER(F869))),"数量がありません","金額がありません")),IF(NOT(ISNUMBER(A869)),"日付がありません（月別集計に入りません）",IF(AND(ISNUMBER(F869),ISNUMBER(J869),ISNUMBER(I869)),"数量×単価を使いました（金額の欄は使っていません）","")))))))</f>
        <v/>
      </c>
      <c r="N869" s="91">
        <f>IF(AND(B869&lt;&gt;"",B869='案件カード'!$C$3),COUNTIF($B$5:B869,'案件カード'!$C$3),"")</f>
        <v/>
      </c>
      <c r="O869" s="91">
        <f>IF(ISNUMBER(K869),IF(B869="",K869,IF(AND(ISNUMBER(MATCH(B869,'案件'!$A$6:$A$105,0)),OR(D869="材料費",D869="労務費",D869="外注費",D869="経費")),0,K869)),0)</f>
        <v/>
      </c>
    </row>
    <row r="870" ht="16" customHeight="1">
      <c r="A870" s="35" t="n"/>
      <c r="B870" s="36" t="n"/>
      <c r="C870" s="37">
        <f>IF(B870="","",IFERROR(INDEX('案件'!$B$6:$B$105,MATCH(B870,'案件'!$A$6:$A$105,0))&amp;"","（案件シートに無い番号）"))</f>
        <v/>
      </c>
      <c r="D870" s="36" t="n"/>
      <c r="E870" s="38" t="n"/>
      <c r="F870" s="39" t="n"/>
      <c r="G870" s="36" t="n"/>
      <c r="H870" s="40" t="n"/>
      <c r="I870" s="40" t="n"/>
      <c r="J870" s="41">
        <f>IF(ISNUMBER(H870),H870,IF(AND(D870="労務費",TRIM(E870)&lt;&gt;""),IFERROR(INDEX('設定'!$G$12:$G$31,MATCH(TRIM(E870),'設定'!$J$12:$J$31,0)),""),""))</f>
        <v/>
      </c>
      <c r="K870" s="30">
        <f>IF(AND(ISNUMBER(F870),ISNUMBER(J870)),ROUND(F870*J870,0),IF(ISNUMBER(I870),I870,""))</f>
        <v/>
      </c>
      <c r="L870" s="33" t="n"/>
      <c r="M870" s="34">
        <f>IF(COUNTA(A870:B870,D870:I870,L870)=0,"",IF(B870="","案件番号がありません",IF(ISNA(MATCH(B870,'案件'!$A$6:$A$105,0)),"案件シートに無い番号です",IF(NOT(OR(D870="材料費",D870="労務費",D870="外注費",D870="経費")),"費目を4つから選んでください",IF(K870="",IF(AND(ISNUMBER(F870),NOT(ISNUMBER(J870))),IF(D870="労務費","単価がありません（設定の作業者名と同じ書き方に）","単価がありません"),IF(AND(ISNUMBER(J870),NOT(ISNUMBER(F870))),"数量がありません","金額がありません")),IF(NOT(ISNUMBER(A870)),"日付がありません（月別集計に入りません）",IF(AND(ISNUMBER(F870),ISNUMBER(J870),ISNUMBER(I870)),"数量×単価を使いました（金額の欄は使っていません）","")))))))</f>
        <v/>
      </c>
      <c r="N870" s="91">
        <f>IF(AND(B870&lt;&gt;"",B870='案件カード'!$C$3),COUNTIF($B$5:B870,'案件カード'!$C$3),"")</f>
        <v/>
      </c>
      <c r="O870" s="91">
        <f>IF(ISNUMBER(K870),IF(B870="",K870,IF(AND(ISNUMBER(MATCH(B870,'案件'!$A$6:$A$105,0)),OR(D870="材料費",D870="労務費",D870="外注費",D870="経費")),0,K870)),0)</f>
        <v/>
      </c>
    </row>
    <row r="871" ht="16" customHeight="1">
      <c r="A871" s="35" t="n"/>
      <c r="B871" s="36" t="n"/>
      <c r="C871" s="37">
        <f>IF(B871="","",IFERROR(INDEX('案件'!$B$6:$B$105,MATCH(B871,'案件'!$A$6:$A$105,0))&amp;"","（案件シートに無い番号）"))</f>
        <v/>
      </c>
      <c r="D871" s="36" t="n"/>
      <c r="E871" s="38" t="n"/>
      <c r="F871" s="39" t="n"/>
      <c r="G871" s="36" t="n"/>
      <c r="H871" s="40" t="n"/>
      <c r="I871" s="40" t="n"/>
      <c r="J871" s="41">
        <f>IF(ISNUMBER(H871),H871,IF(AND(D871="労務費",TRIM(E871)&lt;&gt;""),IFERROR(INDEX('設定'!$G$12:$G$31,MATCH(TRIM(E871),'設定'!$J$12:$J$31,0)),""),""))</f>
        <v/>
      </c>
      <c r="K871" s="30">
        <f>IF(AND(ISNUMBER(F871),ISNUMBER(J871)),ROUND(F871*J871,0),IF(ISNUMBER(I871),I871,""))</f>
        <v/>
      </c>
      <c r="L871" s="33" t="n"/>
      <c r="M871" s="34">
        <f>IF(COUNTA(A871:B871,D871:I871,L871)=0,"",IF(B871="","案件番号がありません",IF(ISNA(MATCH(B871,'案件'!$A$6:$A$105,0)),"案件シートに無い番号です",IF(NOT(OR(D871="材料費",D871="労務費",D871="外注費",D871="経費")),"費目を4つから選んでください",IF(K871="",IF(AND(ISNUMBER(F871),NOT(ISNUMBER(J871))),IF(D871="労務費","単価がありません（設定の作業者名と同じ書き方に）","単価がありません"),IF(AND(ISNUMBER(J871),NOT(ISNUMBER(F871))),"数量がありません","金額がありません")),IF(NOT(ISNUMBER(A871)),"日付がありません（月別集計に入りません）",IF(AND(ISNUMBER(F871),ISNUMBER(J871),ISNUMBER(I871)),"数量×単価を使いました（金額の欄は使っていません）","")))))))</f>
        <v/>
      </c>
      <c r="N871" s="91">
        <f>IF(AND(B871&lt;&gt;"",B871='案件カード'!$C$3),COUNTIF($B$5:B871,'案件カード'!$C$3),"")</f>
        <v/>
      </c>
      <c r="O871" s="91">
        <f>IF(ISNUMBER(K871),IF(B871="",K871,IF(AND(ISNUMBER(MATCH(B871,'案件'!$A$6:$A$105,0)),OR(D871="材料費",D871="労務費",D871="外注費",D871="経費")),0,K871)),0)</f>
        <v/>
      </c>
    </row>
    <row r="872" ht="16" customHeight="1">
      <c r="A872" s="35" t="n"/>
      <c r="B872" s="36" t="n"/>
      <c r="C872" s="37">
        <f>IF(B872="","",IFERROR(INDEX('案件'!$B$6:$B$105,MATCH(B872,'案件'!$A$6:$A$105,0))&amp;"","（案件シートに無い番号）"))</f>
        <v/>
      </c>
      <c r="D872" s="36" t="n"/>
      <c r="E872" s="38" t="n"/>
      <c r="F872" s="39" t="n"/>
      <c r="G872" s="36" t="n"/>
      <c r="H872" s="40" t="n"/>
      <c r="I872" s="40" t="n"/>
      <c r="J872" s="41">
        <f>IF(ISNUMBER(H872),H872,IF(AND(D872="労務費",TRIM(E872)&lt;&gt;""),IFERROR(INDEX('設定'!$G$12:$G$31,MATCH(TRIM(E872),'設定'!$J$12:$J$31,0)),""),""))</f>
        <v/>
      </c>
      <c r="K872" s="30">
        <f>IF(AND(ISNUMBER(F872),ISNUMBER(J872)),ROUND(F872*J872,0),IF(ISNUMBER(I872),I872,""))</f>
        <v/>
      </c>
      <c r="L872" s="33" t="n"/>
      <c r="M872" s="34">
        <f>IF(COUNTA(A872:B872,D872:I872,L872)=0,"",IF(B872="","案件番号がありません",IF(ISNA(MATCH(B872,'案件'!$A$6:$A$105,0)),"案件シートに無い番号です",IF(NOT(OR(D872="材料費",D872="労務費",D872="外注費",D872="経費")),"費目を4つから選んでください",IF(K872="",IF(AND(ISNUMBER(F872),NOT(ISNUMBER(J872))),IF(D872="労務費","単価がありません（設定の作業者名と同じ書き方に）","単価がありません"),IF(AND(ISNUMBER(J872),NOT(ISNUMBER(F872))),"数量がありません","金額がありません")),IF(NOT(ISNUMBER(A872)),"日付がありません（月別集計に入りません）",IF(AND(ISNUMBER(F872),ISNUMBER(J872),ISNUMBER(I872)),"数量×単価を使いました（金額の欄は使っていません）","")))))))</f>
        <v/>
      </c>
      <c r="N872" s="91">
        <f>IF(AND(B872&lt;&gt;"",B872='案件カード'!$C$3),COUNTIF($B$5:B872,'案件カード'!$C$3),"")</f>
        <v/>
      </c>
      <c r="O872" s="91">
        <f>IF(ISNUMBER(K872),IF(B872="",K872,IF(AND(ISNUMBER(MATCH(B872,'案件'!$A$6:$A$105,0)),OR(D872="材料費",D872="労務費",D872="外注費",D872="経費")),0,K872)),0)</f>
        <v/>
      </c>
    </row>
    <row r="873" ht="16" customHeight="1">
      <c r="A873" s="35" t="n"/>
      <c r="B873" s="36" t="n"/>
      <c r="C873" s="37">
        <f>IF(B873="","",IFERROR(INDEX('案件'!$B$6:$B$105,MATCH(B873,'案件'!$A$6:$A$105,0))&amp;"","（案件シートに無い番号）"))</f>
        <v/>
      </c>
      <c r="D873" s="36" t="n"/>
      <c r="E873" s="38" t="n"/>
      <c r="F873" s="39" t="n"/>
      <c r="G873" s="36" t="n"/>
      <c r="H873" s="40" t="n"/>
      <c r="I873" s="40" t="n"/>
      <c r="J873" s="41">
        <f>IF(ISNUMBER(H873),H873,IF(AND(D873="労務費",TRIM(E873)&lt;&gt;""),IFERROR(INDEX('設定'!$G$12:$G$31,MATCH(TRIM(E873),'設定'!$J$12:$J$31,0)),""),""))</f>
        <v/>
      </c>
      <c r="K873" s="30">
        <f>IF(AND(ISNUMBER(F873),ISNUMBER(J873)),ROUND(F873*J873,0),IF(ISNUMBER(I873),I873,""))</f>
        <v/>
      </c>
      <c r="L873" s="33" t="n"/>
      <c r="M873" s="34">
        <f>IF(COUNTA(A873:B873,D873:I873,L873)=0,"",IF(B873="","案件番号がありません",IF(ISNA(MATCH(B873,'案件'!$A$6:$A$105,0)),"案件シートに無い番号です",IF(NOT(OR(D873="材料費",D873="労務費",D873="外注費",D873="経費")),"費目を4つから選んでください",IF(K873="",IF(AND(ISNUMBER(F873),NOT(ISNUMBER(J873))),IF(D873="労務費","単価がありません（設定の作業者名と同じ書き方に）","単価がありません"),IF(AND(ISNUMBER(J873),NOT(ISNUMBER(F873))),"数量がありません","金額がありません")),IF(NOT(ISNUMBER(A873)),"日付がありません（月別集計に入りません）",IF(AND(ISNUMBER(F873),ISNUMBER(J873),ISNUMBER(I873)),"数量×単価を使いました（金額の欄は使っていません）","")))))))</f>
        <v/>
      </c>
      <c r="N873" s="91">
        <f>IF(AND(B873&lt;&gt;"",B873='案件カード'!$C$3),COUNTIF($B$5:B873,'案件カード'!$C$3),"")</f>
        <v/>
      </c>
      <c r="O873" s="91">
        <f>IF(ISNUMBER(K873),IF(B873="",K873,IF(AND(ISNUMBER(MATCH(B873,'案件'!$A$6:$A$105,0)),OR(D873="材料費",D873="労務費",D873="外注費",D873="経費")),0,K873)),0)</f>
        <v/>
      </c>
    </row>
    <row r="874" ht="16" customHeight="1">
      <c r="A874" s="35" t="n"/>
      <c r="B874" s="36" t="n"/>
      <c r="C874" s="37">
        <f>IF(B874="","",IFERROR(INDEX('案件'!$B$6:$B$105,MATCH(B874,'案件'!$A$6:$A$105,0))&amp;"","（案件シートに無い番号）"))</f>
        <v/>
      </c>
      <c r="D874" s="36" t="n"/>
      <c r="E874" s="38" t="n"/>
      <c r="F874" s="39" t="n"/>
      <c r="G874" s="36" t="n"/>
      <c r="H874" s="40" t="n"/>
      <c r="I874" s="40" t="n"/>
      <c r="J874" s="41">
        <f>IF(ISNUMBER(H874),H874,IF(AND(D874="労務費",TRIM(E874)&lt;&gt;""),IFERROR(INDEX('設定'!$G$12:$G$31,MATCH(TRIM(E874),'設定'!$J$12:$J$31,0)),""),""))</f>
        <v/>
      </c>
      <c r="K874" s="30">
        <f>IF(AND(ISNUMBER(F874),ISNUMBER(J874)),ROUND(F874*J874,0),IF(ISNUMBER(I874),I874,""))</f>
        <v/>
      </c>
      <c r="L874" s="33" t="n"/>
      <c r="M874" s="34">
        <f>IF(COUNTA(A874:B874,D874:I874,L874)=0,"",IF(B874="","案件番号がありません",IF(ISNA(MATCH(B874,'案件'!$A$6:$A$105,0)),"案件シートに無い番号です",IF(NOT(OR(D874="材料費",D874="労務費",D874="外注費",D874="経費")),"費目を4つから選んでください",IF(K874="",IF(AND(ISNUMBER(F874),NOT(ISNUMBER(J874))),IF(D874="労務費","単価がありません（設定の作業者名と同じ書き方に）","単価がありません"),IF(AND(ISNUMBER(J874),NOT(ISNUMBER(F874))),"数量がありません","金額がありません")),IF(NOT(ISNUMBER(A874)),"日付がありません（月別集計に入りません）",IF(AND(ISNUMBER(F874),ISNUMBER(J874),ISNUMBER(I874)),"数量×単価を使いました（金額の欄は使っていません）","")))))))</f>
        <v/>
      </c>
      <c r="N874" s="91">
        <f>IF(AND(B874&lt;&gt;"",B874='案件カード'!$C$3),COUNTIF($B$5:B874,'案件カード'!$C$3),"")</f>
        <v/>
      </c>
      <c r="O874" s="91">
        <f>IF(ISNUMBER(K874),IF(B874="",K874,IF(AND(ISNUMBER(MATCH(B874,'案件'!$A$6:$A$105,0)),OR(D874="材料費",D874="労務費",D874="外注費",D874="経費")),0,K874)),0)</f>
        <v/>
      </c>
    </row>
    <row r="875" ht="16" customHeight="1">
      <c r="A875" s="35" t="n"/>
      <c r="B875" s="36" t="n"/>
      <c r="C875" s="37">
        <f>IF(B875="","",IFERROR(INDEX('案件'!$B$6:$B$105,MATCH(B875,'案件'!$A$6:$A$105,0))&amp;"","（案件シートに無い番号）"))</f>
        <v/>
      </c>
      <c r="D875" s="36" t="n"/>
      <c r="E875" s="38" t="n"/>
      <c r="F875" s="39" t="n"/>
      <c r="G875" s="36" t="n"/>
      <c r="H875" s="40" t="n"/>
      <c r="I875" s="40" t="n"/>
      <c r="J875" s="41">
        <f>IF(ISNUMBER(H875),H875,IF(AND(D875="労務費",TRIM(E875)&lt;&gt;""),IFERROR(INDEX('設定'!$G$12:$G$31,MATCH(TRIM(E875),'設定'!$J$12:$J$31,0)),""),""))</f>
        <v/>
      </c>
      <c r="K875" s="30">
        <f>IF(AND(ISNUMBER(F875),ISNUMBER(J875)),ROUND(F875*J875,0),IF(ISNUMBER(I875),I875,""))</f>
        <v/>
      </c>
      <c r="L875" s="33" t="n"/>
      <c r="M875" s="34">
        <f>IF(COUNTA(A875:B875,D875:I875,L875)=0,"",IF(B875="","案件番号がありません",IF(ISNA(MATCH(B875,'案件'!$A$6:$A$105,0)),"案件シートに無い番号です",IF(NOT(OR(D875="材料費",D875="労務費",D875="外注費",D875="経費")),"費目を4つから選んでください",IF(K875="",IF(AND(ISNUMBER(F875),NOT(ISNUMBER(J875))),IF(D875="労務費","単価がありません（設定の作業者名と同じ書き方に）","単価がありません"),IF(AND(ISNUMBER(J875),NOT(ISNUMBER(F875))),"数量がありません","金額がありません")),IF(NOT(ISNUMBER(A875)),"日付がありません（月別集計に入りません）",IF(AND(ISNUMBER(F875),ISNUMBER(J875),ISNUMBER(I875)),"数量×単価を使いました（金額の欄は使っていません）","")))))))</f>
        <v/>
      </c>
      <c r="N875" s="91">
        <f>IF(AND(B875&lt;&gt;"",B875='案件カード'!$C$3),COUNTIF($B$5:B875,'案件カード'!$C$3),"")</f>
        <v/>
      </c>
      <c r="O875" s="91">
        <f>IF(ISNUMBER(K875),IF(B875="",K875,IF(AND(ISNUMBER(MATCH(B875,'案件'!$A$6:$A$105,0)),OR(D875="材料費",D875="労務費",D875="外注費",D875="経費")),0,K875)),0)</f>
        <v/>
      </c>
    </row>
    <row r="876" ht="16" customHeight="1">
      <c r="A876" s="35" t="n"/>
      <c r="B876" s="36" t="n"/>
      <c r="C876" s="37">
        <f>IF(B876="","",IFERROR(INDEX('案件'!$B$6:$B$105,MATCH(B876,'案件'!$A$6:$A$105,0))&amp;"","（案件シートに無い番号）"))</f>
        <v/>
      </c>
      <c r="D876" s="36" t="n"/>
      <c r="E876" s="38" t="n"/>
      <c r="F876" s="39" t="n"/>
      <c r="G876" s="36" t="n"/>
      <c r="H876" s="40" t="n"/>
      <c r="I876" s="40" t="n"/>
      <c r="J876" s="41">
        <f>IF(ISNUMBER(H876),H876,IF(AND(D876="労務費",TRIM(E876)&lt;&gt;""),IFERROR(INDEX('設定'!$G$12:$G$31,MATCH(TRIM(E876),'設定'!$J$12:$J$31,0)),""),""))</f>
        <v/>
      </c>
      <c r="K876" s="30">
        <f>IF(AND(ISNUMBER(F876),ISNUMBER(J876)),ROUND(F876*J876,0),IF(ISNUMBER(I876),I876,""))</f>
        <v/>
      </c>
      <c r="L876" s="33" t="n"/>
      <c r="M876" s="34">
        <f>IF(COUNTA(A876:B876,D876:I876,L876)=0,"",IF(B876="","案件番号がありません",IF(ISNA(MATCH(B876,'案件'!$A$6:$A$105,0)),"案件シートに無い番号です",IF(NOT(OR(D876="材料費",D876="労務費",D876="外注費",D876="経費")),"費目を4つから選んでください",IF(K876="",IF(AND(ISNUMBER(F876),NOT(ISNUMBER(J876))),IF(D876="労務費","単価がありません（設定の作業者名と同じ書き方に）","単価がありません"),IF(AND(ISNUMBER(J876),NOT(ISNUMBER(F876))),"数量がありません","金額がありません")),IF(NOT(ISNUMBER(A876)),"日付がありません（月別集計に入りません）",IF(AND(ISNUMBER(F876),ISNUMBER(J876),ISNUMBER(I876)),"数量×単価を使いました（金額の欄は使っていません）","")))))))</f>
        <v/>
      </c>
      <c r="N876" s="91">
        <f>IF(AND(B876&lt;&gt;"",B876='案件カード'!$C$3),COUNTIF($B$5:B876,'案件カード'!$C$3),"")</f>
        <v/>
      </c>
      <c r="O876" s="91">
        <f>IF(ISNUMBER(K876),IF(B876="",K876,IF(AND(ISNUMBER(MATCH(B876,'案件'!$A$6:$A$105,0)),OR(D876="材料費",D876="労務費",D876="外注費",D876="経費")),0,K876)),0)</f>
        <v/>
      </c>
    </row>
    <row r="877" ht="16" customHeight="1">
      <c r="A877" s="35" t="n"/>
      <c r="B877" s="36" t="n"/>
      <c r="C877" s="37">
        <f>IF(B877="","",IFERROR(INDEX('案件'!$B$6:$B$105,MATCH(B877,'案件'!$A$6:$A$105,0))&amp;"","（案件シートに無い番号）"))</f>
        <v/>
      </c>
      <c r="D877" s="36" t="n"/>
      <c r="E877" s="38" t="n"/>
      <c r="F877" s="39" t="n"/>
      <c r="G877" s="36" t="n"/>
      <c r="H877" s="40" t="n"/>
      <c r="I877" s="40" t="n"/>
      <c r="J877" s="41">
        <f>IF(ISNUMBER(H877),H877,IF(AND(D877="労務費",TRIM(E877)&lt;&gt;""),IFERROR(INDEX('設定'!$G$12:$G$31,MATCH(TRIM(E877),'設定'!$J$12:$J$31,0)),""),""))</f>
        <v/>
      </c>
      <c r="K877" s="30">
        <f>IF(AND(ISNUMBER(F877),ISNUMBER(J877)),ROUND(F877*J877,0),IF(ISNUMBER(I877),I877,""))</f>
        <v/>
      </c>
      <c r="L877" s="33" t="n"/>
      <c r="M877" s="34">
        <f>IF(COUNTA(A877:B877,D877:I877,L877)=0,"",IF(B877="","案件番号がありません",IF(ISNA(MATCH(B877,'案件'!$A$6:$A$105,0)),"案件シートに無い番号です",IF(NOT(OR(D877="材料費",D877="労務費",D877="外注費",D877="経費")),"費目を4つから選んでください",IF(K877="",IF(AND(ISNUMBER(F877),NOT(ISNUMBER(J877))),IF(D877="労務費","単価がありません（設定の作業者名と同じ書き方に）","単価がありません"),IF(AND(ISNUMBER(J877),NOT(ISNUMBER(F877))),"数量がありません","金額がありません")),IF(NOT(ISNUMBER(A877)),"日付がありません（月別集計に入りません）",IF(AND(ISNUMBER(F877),ISNUMBER(J877),ISNUMBER(I877)),"数量×単価を使いました（金額の欄は使っていません）","")))))))</f>
        <v/>
      </c>
      <c r="N877" s="91">
        <f>IF(AND(B877&lt;&gt;"",B877='案件カード'!$C$3),COUNTIF($B$5:B877,'案件カード'!$C$3),"")</f>
        <v/>
      </c>
      <c r="O877" s="91">
        <f>IF(ISNUMBER(K877),IF(B877="",K877,IF(AND(ISNUMBER(MATCH(B877,'案件'!$A$6:$A$105,0)),OR(D877="材料費",D877="労務費",D877="外注費",D877="経費")),0,K877)),0)</f>
        <v/>
      </c>
    </row>
    <row r="878" ht="16" customHeight="1">
      <c r="A878" s="35" t="n"/>
      <c r="B878" s="36" t="n"/>
      <c r="C878" s="37">
        <f>IF(B878="","",IFERROR(INDEX('案件'!$B$6:$B$105,MATCH(B878,'案件'!$A$6:$A$105,0))&amp;"","（案件シートに無い番号）"))</f>
        <v/>
      </c>
      <c r="D878" s="36" t="n"/>
      <c r="E878" s="38" t="n"/>
      <c r="F878" s="39" t="n"/>
      <c r="G878" s="36" t="n"/>
      <c r="H878" s="40" t="n"/>
      <c r="I878" s="40" t="n"/>
      <c r="J878" s="41">
        <f>IF(ISNUMBER(H878),H878,IF(AND(D878="労務費",TRIM(E878)&lt;&gt;""),IFERROR(INDEX('設定'!$G$12:$G$31,MATCH(TRIM(E878),'設定'!$J$12:$J$31,0)),""),""))</f>
        <v/>
      </c>
      <c r="K878" s="30">
        <f>IF(AND(ISNUMBER(F878),ISNUMBER(J878)),ROUND(F878*J878,0),IF(ISNUMBER(I878),I878,""))</f>
        <v/>
      </c>
      <c r="L878" s="33" t="n"/>
      <c r="M878" s="34">
        <f>IF(COUNTA(A878:B878,D878:I878,L878)=0,"",IF(B878="","案件番号がありません",IF(ISNA(MATCH(B878,'案件'!$A$6:$A$105,0)),"案件シートに無い番号です",IF(NOT(OR(D878="材料費",D878="労務費",D878="外注費",D878="経費")),"費目を4つから選んでください",IF(K878="",IF(AND(ISNUMBER(F878),NOT(ISNUMBER(J878))),IF(D878="労務費","単価がありません（設定の作業者名と同じ書き方に）","単価がありません"),IF(AND(ISNUMBER(J878),NOT(ISNUMBER(F878))),"数量がありません","金額がありません")),IF(NOT(ISNUMBER(A878)),"日付がありません（月別集計に入りません）",IF(AND(ISNUMBER(F878),ISNUMBER(J878),ISNUMBER(I878)),"数量×単価を使いました（金額の欄は使っていません）","")))))))</f>
        <v/>
      </c>
      <c r="N878" s="91">
        <f>IF(AND(B878&lt;&gt;"",B878='案件カード'!$C$3),COUNTIF($B$5:B878,'案件カード'!$C$3),"")</f>
        <v/>
      </c>
      <c r="O878" s="91">
        <f>IF(ISNUMBER(K878),IF(B878="",K878,IF(AND(ISNUMBER(MATCH(B878,'案件'!$A$6:$A$105,0)),OR(D878="材料費",D878="労務費",D878="外注費",D878="経費")),0,K878)),0)</f>
        <v/>
      </c>
    </row>
    <row r="879" ht="16" customHeight="1">
      <c r="A879" s="35" t="n"/>
      <c r="B879" s="36" t="n"/>
      <c r="C879" s="37">
        <f>IF(B879="","",IFERROR(INDEX('案件'!$B$6:$B$105,MATCH(B879,'案件'!$A$6:$A$105,0))&amp;"","（案件シートに無い番号）"))</f>
        <v/>
      </c>
      <c r="D879" s="36" t="n"/>
      <c r="E879" s="38" t="n"/>
      <c r="F879" s="39" t="n"/>
      <c r="G879" s="36" t="n"/>
      <c r="H879" s="40" t="n"/>
      <c r="I879" s="40" t="n"/>
      <c r="J879" s="41">
        <f>IF(ISNUMBER(H879),H879,IF(AND(D879="労務費",TRIM(E879)&lt;&gt;""),IFERROR(INDEX('設定'!$G$12:$G$31,MATCH(TRIM(E879),'設定'!$J$12:$J$31,0)),""),""))</f>
        <v/>
      </c>
      <c r="K879" s="30">
        <f>IF(AND(ISNUMBER(F879),ISNUMBER(J879)),ROUND(F879*J879,0),IF(ISNUMBER(I879),I879,""))</f>
        <v/>
      </c>
      <c r="L879" s="33" t="n"/>
      <c r="M879" s="34">
        <f>IF(COUNTA(A879:B879,D879:I879,L879)=0,"",IF(B879="","案件番号がありません",IF(ISNA(MATCH(B879,'案件'!$A$6:$A$105,0)),"案件シートに無い番号です",IF(NOT(OR(D879="材料費",D879="労務費",D879="外注費",D879="経費")),"費目を4つから選んでください",IF(K879="",IF(AND(ISNUMBER(F879),NOT(ISNUMBER(J879))),IF(D879="労務費","単価がありません（設定の作業者名と同じ書き方に）","単価がありません"),IF(AND(ISNUMBER(J879),NOT(ISNUMBER(F879))),"数量がありません","金額がありません")),IF(NOT(ISNUMBER(A879)),"日付がありません（月別集計に入りません）",IF(AND(ISNUMBER(F879),ISNUMBER(J879),ISNUMBER(I879)),"数量×単価を使いました（金額の欄は使っていません）","")))))))</f>
        <v/>
      </c>
      <c r="N879" s="91">
        <f>IF(AND(B879&lt;&gt;"",B879='案件カード'!$C$3),COUNTIF($B$5:B879,'案件カード'!$C$3),"")</f>
        <v/>
      </c>
      <c r="O879" s="91">
        <f>IF(ISNUMBER(K879),IF(B879="",K879,IF(AND(ISNUMBER(MATCH(B879,'案件'!$A$6:$A$105,0)),OR(D879="材料費",D879="労務費",D879="外注費",D879="経費")),0,K879)),0)</f>
        <v/>
      </c>
    </row>
    <row r="880" ht="16" customHeight="1">
      <c r="A880" s="35" t="n"/>
      <c r="B880" s="36" t="n"/>
      <c r="C880" s="37">
        <f>IF(B880="","",IFERROR(INDEX('案件'!$B$6:$B$105,MATCH(B880,'案件'!$A$6:$A$105,0))&amp;"","（案件シートに無い番号）"))</f>
        <v/>
      </c>
      <c r="D880" s="36" t="n"/>
      <c r="E880" s="38" t="n"/>
      <c r="F880" s="39" t="n"/>
      <c r="G880" s="36" t="n"/>
      <c r="H880" s="40" t="n"/>
      <c r="I880" s="40" t="n"/>
      <c r="J880" s="41">
        <f>IF(ISNUMBER(H880),H880,IF(AND(D880="労務費",TRIM(E880)&lt;&gt;""),IFERROR(INDEX('設定'!$G$12:$G$31,MATCH(TRIM(E880),'設定'!$J$12:$J$31,0)),""),""))</f>
        <v/>
      </c>
      <c r="K880" s="30">
        <f>IF(AND(ISNUMBER(F880),ISNUMBER(J880)),ROUND(F880*J880,0),IF(ISNUMBER(I880),I880,""))</f>
        <v/>
      </c>
      <c r="L880" s="33" t="n"/>
      <c r="M880" s="34">
        <f>IF(COUNTA(A880:B880,D880:I880,L880)=0,"",IF(B880="","案件番号がありません",IF(ISNA(MATCH(B880,'案件'!$A$6:$A$105,0)),"案件シートに無い番号です",IF(NOT(OR(D880="材料費",D880="労務費",D880="外注費",D880="経費")),"費目を4つから選んでください",IF(K880="",IF(AND(ISNUMBER(F880),NOT(ISNUMBER(J880))),IF(D880="労務費","単価がありません（設定の作業者名と同じ書き方に）","単価がありません"),IF(AND(ISNUMBER(J880),NOT(ISNUMBER(F880))),"数量がありません","金額がありません")),IF(NOT(ISNUMBER(A880)),"日付がありません（月別集計に入りません）",IF(AND(ISNUMBER(F880),ISNUMBER(J880),ISNUMBER(I880)),"数量×単価を使いました（金額の欄は使っていません）","")))))))</f>
        <v/>
      </c>
      <c r="N880" s="91">
        <f>IF(AND(B880&lt;&gt;"",B880='案件カード'!$C$3),COUNTIF($B$5:B880,'案件カード'!$C$3),"")</f>
        <v/>
      </c>
      <c r="O880" s="91">
        <f>IF(ISNUMBER(K880),IF(B880="",K880,IF(AND(ISNUMBER(MATCH(B880,'案件'!$A$6:$A$105,0)),OR(D880="材料費",D880="労務費",D880="外注費",D880="経費")),0,K880)),0)</f>
        <v/>
      </c>
    </row>
    <row r="881" ht="16" customHeight="1">
      <c r="A881" s="35" t="n"/>
      <c r="B881" s="36" t="n"/>
      <c r="C881" s="37">
        <f>IF(B881="","",IFERROR(INDEX('案件'!$B$6:$B$105,MATCH(B881,'案件'!$A$6:$A$105,0))&amp;"","（案件シートに無い番号）"))</f>
        <v/>
      </c>
      <c r="D881" s="36" t="n"/>
      <c r="E881" s="38" t="n"/>
      <c r="F881" s="39" t="n"/>
      <c r="G881" s="36" t="n"/>
      <c r="H881" s="40" t="n"/>
      <c r="I881" s="40" t="n"/>
      <c r="J881" s="41">
        <f>IF(ISNUMBER(H881),H881,IF(AND(D881="労務費",TRIM(E881)&lt;&gt;""),IFERROR(INDEX('設定'!$G$12:$G$31,MATCH(TRIM(E881),'設定'!$J$12:$J$31,0)),""),""))</f>
        <v/>
      </c>
      <c r="K881" s="30">
        <f>IF(AND(ISNUMBER(F881),ISNUMBER(J881)),ROUND(F881*J881,0),IF(ISNUMBER(I881),I881,""))</f>
        <v/>
      </c>
      <c r="L881" s="33" t="n"/>
      <c r="M881" s="34">
        <f>IF(COUNTA(A881:B881,D881:I881,L881)=0,"",IF(B881="","案件番号がありません",IF(ISNA(MATCH(B881,'案件'!$A$6:$A$105,0)),"案件シートに無い番号です",IF(NOT(OR(D881="材料費",D881="労務費",D881="外注費",D881="経費")),"費目を4つから選んでください",IF(K881="",IF(AND(ISNUMBER(F881),NOT(ISNUMBER(J881))),IF(D881="労務費","単価がありません（設定の作業者名と同じ書き方に）","単価がありません"),IF(AND(ISNUMBER(J881),NOT(ISNUMBER(F881))),"数量がありません","金額がありません")),IF(NOT(ISNUMBER(A881)),"日付がありません（月別集計に入りません）",IF(AND(ISNUMBER(F881),ISNUMBER(J881),ISNUMBER(I881)),"数量×単価を使いました（金額の欄は使っていません）","")))))))</f>
        <v/>
      </c>
      <c r="N881" s="91">
        <f>IF(AND(B881&lt;&gt;"",B881='案件カード'!$C$3),COUNTIF($B$5:B881,'案件カード'!$C$3),"")</f>
        <v/>
      </c>
      <c r="O881" s="91">
        <f>IF(ISNUMBER(K881),IF(B881="",K881,IF(AND(ISNUMBER(MATCH(B881,'案件'!$A$6:$A$105,0)),OR(D881="材料費",D881="労務費",D881="外注費",D881="経費")),0,K881)),0)</f>
        <v/>
      </c>
    </row>
    <row r="882" ht="16" customHeight="1">
      <c r="A882" s="35" t="n"/>
      <c r="B882" s="36" t="n"/>
      <c r="C882" s="37">
        <f>IF(B882="","",IFERROR(INDEX('案件'!$B$6:$B$105,MATCH(B882,'案件'!$A$6:$A$105,0))&amp;"","（案件シートに無い番号）"))</f>
        <v/>
      </c>
      <c r="D882" s="36" t="n"/>
      <c r="E882" s="38" t="n"/>
      <c r="F882" s="39" t="n"/>
      <c r="G882" s="36" t="n"/>
      <c r="H882" s="40" t="n"/>
      <c r="I882" s="40" t="n"/>
      <c r="J882" s="41">
        <f>IF(ISNUMBER(H882),H882,IF(AND(D882="労務費",TRIM(E882)&lt;&gt;""),IFERROR(INDEX('設定'!$G$12:$G$31,MATCH(TRIM(E882),'設定'!$J$12:$J$31,0)),""),""))</f>
        <v/>
      </c>
      <c r="K882" s="30">
        <f>IF(AND(ISNUMBER(F882),ISNUMBER(J882)),ROUND(F882*J882,0),IF(ISNUMBER(I882),I882,""))</f>
        <v/>
      </c>
      <c r="L882" s="33" t="n"/>
      <c r="M882" s="34">
        <f>IF(COUNTA(A882:B882,D882:I882,L882)=0,"",IF(B882="","案件番号がありません",IF(ISNA(MATCH(B882,'案件'!$A$6:$A$105,0)),"案件シートに無い番号です",IF(NOT(OR(D882="材料費",D882="労務費",D882="外注費",D882="経費")),"費目を4つから選んでください",IF(K882="",IF(AND(ISNUMBER(F882),NOT(ISNUMBER(J882))),IF(D882="労務費","単価がありません（設定の作業者名と同じ書き方に）","単価がありません"),IF(AND(ISNUMBER(J882),NOT(ISNUMBER(F882))),"数量がありません","金額がありません")),IF(NOT(ISNUMBER(A882)),"日付がありません（月別集計に入りません）",IF(AND(ISNUMBER(F882),ISNUMBER(J882),ISNUMBER(I882)),"数量×単価を使いました（金額の欄は使っていません）","")))))))</f>
        <v/>
      </c>
      <c r="N882" s="91">
        <f>IF(AND(B882&lt;&gt;"",B882='案件カード'!$C$3),COUNTIF($B$5:B882,'案件カード'!$C$3),"")</f>
        <v/>
      </c>
      <c r="O882" s="91">
        <f>IF(ISNUMBER(K882),IF(B882="",K882,IF(AND(ISNUMBER(MATCH(B882,'案件'!$A$6:$A$105,0)),OR(D882="材料費",D882="労務費",D882="外注費",D882="経費")),0,K882)),0)</f>
        <v/>
      </c>
    </row>
    <row r="883" ht="16" customHeight="1">
      <c r="A883" s="35" t="n"/>
      <c r="B883" s="36" t="n"/>
      <c r="C883" s="37">
        <f>IF(B883="","",IFERROR(INDEX('案件'!$B$6:$B$105,MATCH(B883,'案件'!$A$6:$A$105,0))&amp;"","（案件シートに無い番号）"))</f>
        <v/>
      </c>
      <c r="D883" s="36" t="n"/>
      <c r="E883" s="38" t="n"/>
      <c r="F883" s="39" t="n"/>
      <c r="G883" s="36" t="n"/>
      <c r="H883" s="40" t="n"/>
      <c r="I883" s="40" t="n"/>
      <c r="J883" s="41">
        <f>IF(ISNUMBER(H883),H883,IF(AND(D883="労務費",TRIM(E883)&lt;&gt;""),IFERROR(INDEX('設定'!$G$12:$G$31,MATCH(TRIM(E883),'設定'!$J$12:$J$31,0)),""),""))</f>
        <v/>
      </c>
      <c r="K883" s="30">
        <f>IF(AND(ISNUMBER(F883),ISNUMBER(J883)),ROUND(F883*J883,0),IF(ISNUMBER(I883),I883,""))</f>
        <v/>
      </c>
      <c r="L883" s="33" t="n"/>
      <c r="M883" s="34">
        <f>IF(COUNTA(A883:B883,D883:I883,L883)=0,"",IF(B883="","案件番号がありません",IF(ISNA(MATCH(B883,'案件'!$A$6:$A$105,0)),"案件シートに無い番号です",IF(NOT(OR(D883="材料費",D883="労務費",D883="外注費",D883="経費")),"費目を4つから選んでください",IF(K883="",IF(AND(ISNUMBER(F883),NOT(ISNUMBER(J883))),IF(D883="労務費","単価がありません（設定の作業者名と同じ書き方に）","単価がありません"),IF(AND(ISNUMBER(J883),NOT(ISNUMBER(F883))),"数量がありません","金額がありません")),IF(NOT(ISNUMBER(A883)),"日付がありません（月別集計に入りません）",IF(AND(ISNUMBER(F883),ISNUMBER(J883),ISNUMBER(I883)),"数量×単価を使いました（金額の欄は使っていません）","")))))))</f>
        <v/>
      </c>
      <c r="N883" s="91">
        <f>IF(AND(B883&lt;&gt;"",B883='案件カード'!$C$3),COUNTIF($B$5:B883,'案件カード'!$C$3),"")</f>
        <v/>
      </c>
      <c r="O883" s="91">
        <f>IF(ISNUMBER(K883),IF(B883="",K883,IF(AND(ISNUMBER(MATCH(B883,'案件'!$A$6:$A$105,0)),OR(D883="材料費",D883="労務費",D883="外注費",D883="経費")),0,K883)),0)</f>
        <v/>
      </c>
    </row>
    <row r="884" ht="16" customHeight="1">
      <c r="A884" s="35" t="n"/>
      <c r="B884" s="36" t="n"/>
      <c r="C884" s="37">
        <f>IF(B884="","",IFERROR(INDEX('案件'!$B$6:$B$105,MATCH(B884,'案件'!$A$6:$A$105,0))&amp;"","（案件シートに無い番号）"))</f>
        <v/>
      </c>
      <c r="D884" s="36" t="n"/>
      <c r="E884" s="38" t="n"/>
      <c r="F884" s="39" t="n"/>
      <c r="G884" s="36" t="n"/>
      <c r="H884" s="40" t="n"/>
      <c r="I884" s="40" t="n"/>
      <c r="J884" s="41">
        <f>IF(ISNUMBER(H884),H884,IF(AND(D884="労務費",TRIM(E884)&lt;&gt;""),IFERROR(INDEX('設定'!$G$12:$G$31,MATCH(TRIM(E884),'設定'!$J$12:$J$31,0)),""),""))</f>
        <v/>
      </c>
      <c r="K884" s="30">
        <f>IF(AND(ISNUMBER(F884),ISNUMBER(J884)),ROUND(F884*J884,0),IF(ISNUMBER(I884),I884,""))</f>
        <v/>
      </c>
      <c r="L884" s="33" t="n"/>
      <c r="M884" s="34">
        <f>IF(COUNTA(A884:B884,D884:I884,L884)=0,"",IF(B884="","案件番号がありません",IF(ISNA(MATCH(B884,'案件'!$A$6:$A$105,0)),"案件シートに無い番号です",IF(NOT(OR(D884="材料費",D884="労務費",D884="外注費",D884="経費")),"費目を4つから選んでください",IF(K884="",IF(AND(ISNUMBER(F884),NOT(ISNUMBER(J884))),IF(D884="労務費","単価がありません（設定の作業者名と同じ書き方に）","単価がありません"),IF(AND(ISNUMBER(J884),NOT(ISNUMBER(F884))),"数量がありません","金額がありません")),IF(NOT(ISNUMBER(A884)),"日付がありません（月別集計に入りません）",IF(AND(ISNUMBER(F884),ISNUMBER(J884),ISNUMBER(I884)),"数量×単価を使いました（金額の欄は使っていません）","")))))))</f>
        <v/>
      </c>
      <c r="N884" s="91">
        <f>IF(AND(B884&lt;&gt;"",B884='案件カード'!$C$3),COUNTIF($B$5:B884,'案件カード'!$C$3),"")</f>
        <v/>
      </c>
      <c r="O884" s="91">
        <f>IF(ISNUMBER(K884),IF(B884="",K884,IF(AND(ISNUMBER(MATCH(B884,'案件'!$A$6:$A$105,0)),OR(D884="材料費",D884="労務費",D884="外注費",D884="経費")),0,K884)),0)</f>
        <v/>
      </c>
    </row>
    <row r="885" ht="16" customHeight="1">
      <c r="A885" s="35" t="n"/>
      <c r="B885" s="36" t="n"/>
      <c r="C885" s="37">
        <f>IF(B885="","",IFERROR(INDEX('案件'!$B$6:$B$105,MATCH(B885,'案件'!$A$6:$A$105,0))&amp;"","（案件シートに無い番号）"))</f>
        <v/>
      </c>
      <c r="D885" s="36" t="n"/>
      <c r="E885" s="38" t="n"/>
      <c r="F885" s="39" t="n"/>
      <c r="G885" s="36" t="n"/>
      <c r="H885" s="40" t="n"/>
      <c r="I885" s="40" t="n"/>
      <c r="J885" s="41">
        <f>IF(ISNUMBER(H885),H885,IF(AND(D885="労務費",TRIM(E885)&lt;&gt;""),IFERROR(INDEX('設定'!$G$12:$G$31,MATCH(TRIM(E885),'設定'!$J$12:$J$31,0)),""),""))</f>
        <v/>
      </c>
      <c r="K885" s="30">
        <f>IF(AND(ISNUMBER(F885),ISNUMBER(J885)),ROUND(F885*J885,0),IF(ISNUMBER(I885),I885,""))</f>
        <v/>
      </c>
      <c r="L885" s="33" t="n"/>
      <c r="M885" s="34">
        <f>IF(COUNTA(A885:B885,D885:I885,L885)=0,"",IF(B885="","案件番号がありません",IF(ISNA(MATCH(B885,'案件'!$A$6:$A$105,0)),"案件シートに無い番号です",IF(NOT(OR(D885="材料費",D885="労務費",D885="外注費",D885="経費")),"費目を4つから選んでください",IF(K885="",IF(AND(ISNUMBER(F885),NOT(ISNUMBER(J885))),IF(D885="労務費","単価がありません（設定の作業者名と同じ書き方に）","単価がありません"),IF(AND(ISNUMBER(J885),NOT(ISNUMBER(F885))),"数量がありません","金額がありません")),IF(NOT(ISNUMBER(A885)),"日付がありません（月別集計に入りません）",IF(AND(ISNUMBER(F885),ISNUMBER(J885),ISNUMBER(I885)),"数量×単価を使いました（金額の欄は使っていません）","")))))))</f>
        <v/>
      </c>
      <c r="N885" s="91">
        <f>IF(AND(B885&lt;&gt;"",B885='案件カード'!$C$3),COUNTIF($B$5:B885,'案件カード'!$C$3),"")</f>
        <v/>
      </c>
      <c r="O885" s="91">
        <f>IF(ISNUMBER(K885),IF(B885="",K885,IF(AND(ISNUMBER(MATCH(B885,'案件'!$A$6:$A$105,0)),OR(D885="材料費",D885="労務費",D885="外注費",D885="経費")),0,K885)),0)</f>
        <v/>
      </c>
    </row>
    <row r="886" ht="16" customHeight="1">
      <c r="A886" s="35" t="n"/>
      <c r="B886" s="36" t="n"/>
      <c r="C886" s="37">
        <f>IF(B886="","",IFERROR(INDEX('案件'!$B$6:$B$105,MATCH(B886,'案件'!$A$6:$A$105,0))&amp;"","（案件シートに無い番号）"))</f>
        <v/>
      </c>
      <c r="D886" s="36" t="n"/>
      <c r="E886" s="38" t="n"/>
      <c r="F886" s="39" t="n"/>
      <c r="G886" s="36" t="n"/>
      <c r="H886" s="40" t="n"/>
      <c r="I886" s="40" t="n"/>
      <c r="J886" s="41">
        <f>IF(ISNUMBER(H886),H886,IF(AND(D886="労務費",TRIM(E886)&lt;&gt;""),IFERROR(INDEX('設定'!$G$12:$G$31,MATCH(TRIM(E886),'設定'!$J$12:$J$31,0)),""),""))</f>
        <v/>
      </c>
      <c r="K886" s="30">
        <f>IF(AND(ISNUMBER(F886),ISNUMBER(J886)),ROUND(F886*J886,0),IF(ISNUMBER(I886),I886,""))</f>
        <v/>
      </c>
      <c r="L886" s="33" t="n"/>
      <c r="M886" s="34">
        <f>IF(COUNTA(A886:B886,D886:I886,L886)=0,"",IF(B886="","案件番号がありません",IF(ISNA(MATCH(B886,'案件'!$A$6:$A$105,0)),"案件シートに無い番号です",IF(NOT(OR(D886="材料費",D886="労務費",D886="外注費",D886="経費")),"費目を4つから選んでください",IF(K886="",IF(AND(ISNUMBER(F886),NOT(ISNUMBER(J886))),IF(D886="労務費","単価がありません（設定の作業者名と同じ書き方に）","単価がありません"),IF(AND(ISNUMBER(J886),NOT(ISNUMBER(F886))),"数量がありません","金額がありません")),IF(NOT(ISNUMBER(A886)),"日付がありません（月別集計に入りません）",IF(AND(ISNUMBER(F886),ISNUMBER(J886),ISNUMBER(I886)),"数量×単価を使いました（金額の欄は使っていません）","")))))))</f>
        <v/>
      </c>
      <c r="N886" s="91">
        <f>IF(AND(B886&lt;&gt;"",B886='案件カード'!$C$3),COUNTIF($B$5:B886,'案件カード'!$C$3),"")</f>
        <v/>
      </c>
      <c r="O886" s="91">
        <f>IF(ISNUMBER(K886),IF(B886="",K886,IF(AND(ISNUMBER(MATCH(B886,'案件'!$A$6:$A$105,0)),OR(D886="材料費",D886="労務費",D886="外注費",D886="経費")),0,K886)),0)</f>
        <v/>
      </c>
    </row>
    <row r="887" ht="16" customHeight="1">
      <c r="A887" s="35" t="n"/>
      <c r="B887" s="36" t="n"/>
      <c r="C887" s="37">
        <f>IF(B887="","",IFERROR(INDEX('案件'!$B$6:$B$105,MATCH(B887,'案件'!$A$6:$A$105,0))&amp;"","（案件シートに無い番号）"))</f>
        <v/>
      </c>
      <c r="D887" s="36" t="n"/>
      <c r="E887" s="38" t="n"/>
      <c r="F887" s="39" t="n"/>
      <c r="G887" s="36" t="n"/>
      <c r="H887" s="40" t="n"/>
      <c r="I887" s="40" t="n"/>
      <c r="J887" s="41">
        <f>IF(ISNUMBER(H887),H887,IF(AND(D887="労務費",TRIM(E887)&lt;&gt;""),IFERROR(INDEX('設定'!$G$12:$G$31,MATCH(TRIM(E887),'設定'!$J$12:$J$31,0)),""),""))</f>
        <v/>
      </c>
      <c r="K887" s="30">
        <f>IF(AND(ISNUMBER(F887),ISNUMBER(J887)),ROUND(F887*J887,0),IF(ISNUMBER(I887),I887,""))</f>
        <v/>
      </c>
      <c r="L887" s="33" t="n"/>
      <c r="M887" s="34">
        <f>IF(COUNTA(A887:B887,D887:I887,L887)=0,"",IF(B887="","案件番号がありません",IF(ISNA(MATCH(B887,'案件'!$A$6:$A$105,0)),"案件シートに無い番号です",IF(NOT(OR(D887="材料費",D887="労務費",D887="外注費",D887="経費")),"費目を4つから選んでください",IF(K887="",IF(AND(ISNUMBER(F887),NOT(ISNUMBER(J887))),IF(D887="労務費","単価がありません（設定の作業者名と同じ書き方に）","単価がありません"),IF(AND(ISNUMBER(J887),NOT(ISNUMBER(F887))),"数量がありません","金額がありません")),IF(NOT(ISNUMBER(A887)),"日付がありません（月別集計に入りません）",IF(AND(ISNUMBER(F887),ISNUMBER(J887),ISNUMBER(I887)),"数量×単価を使いました（金額の欄は使っていません）","")))))))</f>
        <v/>
      </c>
      <c r="N887" s="91">
        <f>IF(AND(B887&lt;&gt;"",B887='案件カード'!$C$3),COUNTIF($B$5:B887,'案件カード'!$C$3),"")</f>
        <v/>
      </c>
      <c r="O887" s="91">
        <f>IF(ISNUMBER(K887),IF(B887="",K887,IF(AND(ISNUMBER(MATCH(B887,'案件'!$A$6:$A$105,0)),OR(D887="材料費",D887="労務費",D887="外注費",D887="経費")),0,K887)),0)</f>
        <v/>
      </c>
    </row>
    <row r="888" ht="16" customHeight="1">
      <c r="A888" s="35" t="n"/>
      <c r="B888" s="36" t="n"/>
      <c r="C888" s="37">
        <f>IF(B888="","",IFERROR(INDEX('案件'!$B$6:$B$105,MATCH(B888,'案件'!$A$6:$A$105,0))&amp;"","（案件シートに無い番号）"))</f>
        <v/>
      </c>
      <c r="D888" s="36" t="n"/>
      <c r="E888" s="38" t="n"/>
      <c r="F888" s="39" t="n"/>
      <c r="G888" s="36" t="n"/>
      <c r="H888" s="40" t="n"/>
      <c r="I888" s="40" t="n"/>
      <c r="J888" s="41">
        <f>IF(ISNUMBER(H888),H888,IF(AND(D888="労務費",TRIM(E888)&lt;&gt;""),IFERROR(INDEX('設定'!$G$12:$G$31,MATCH(TRIM(E888),'設定'!$J$12:$J$31,0)),""),""))</f>
        <v/>
      </c>
      <c r="K888" s="30">
        <f>IF(AND(ISNUMBER(F888),ISNUMBER(J888)),ROUND(F888*J888,0),IF(ISNUMBER(I888),I888,""))</f>
        <v/>
      </c>
      <c r="L888" s="33" t="n"/>
      <c r="M888" s="34">
        <f>IF(COUNTA(A888:B888,D888:I888,L888)=0,"",IF(B888="","案件番号がありません",IF(ISNA(MATCH(B888,'案件'!$A$6:$A$105,0)),"案件シートに無い番号です",IF(NOT(OR(D888="材料費",D888="労務費",D888="外注費",D888="経費")),"費目を4つから選んでください",IF(K888="",IF(AND(ISNUMBER(F888),NOT(ISNUMBER(J888))),IF(D888="労務費","単価がありません（設定の作業者名と同じ書き方に）","単価がありません"),IF(AND(ISNUMBER(J888),NOT(ISNUMBER(F888))),"数量がありません","金額がありません")),IF(NOT(ISNUMBER(A888)),"日付がありません（月別集計に入りません）",IF(AND(ISNUMBER(F888),ISNUMBER(J888),ISNUMBER(I888)),"数量×単価を使いました（金額の欄は使っていません）","")))))))</f>
        <v/>
      </c>
      <c r="N888" s="91">
        <f>IF(AND(B888&lt;&gt;"",B888='案件カード'!$C$3),COUNTIF($B$5:B888,'案件カード'!$C$3),"")</f>
        <v/>
      </c>
      <c r="O888" s="91">
        <f>IF(ISNUMBER(K888),IF(B888="",K888,IF(AND(ISNUMBER(MATCH(B888,'案件'!$A$6:$A$105,0)),OR(D888="材料費",D888="労務費",D888="外注費",D888="経費")),0,K888)),0)</f>
        <v/>
      </c>
    </row>
    <row r="889" ht="16" customHeight="1">
      <c r="A889" s="35" t="n"/>
      <c r="B889" s="36" t="n"/>
      <c r="C889" s="37">
        <f>IF(B889="","",IFERROR(INDEX('案件'!$B$6:$B$105,MATCH(B889,'案件'!$A$6:$A$105,0))&amp;"","（案件シートに無い番号）"))</f>
        <v/>
      </c>
      <c r="D889" s="36" t="n"/>
      <c r="E889" s="38" t="n"/>
      <c r="F889" s="39" t="n"/>
      <c r="G889" s="36" t="n"/>
      <c r="H889" s="40" t="n"/>
      <c r="I889" s="40" t="n"/>
      <c r="J889" s="41">
        <f>IF(ISNUMBER(H889),H889,IF(AND(D889="労務費",TRIM(E889)&lt;&gt;""),IFERROR(INDEX('設定'!$G$12:$G$31,MATCH(TRIM(E889),'設定'!$J$12:$J$31,0)),""),""))</f>
        <v/>
      </c>
      <c r="K889" s="30">
        <f>IF(AND(ISNUMBER(F889),ISNUMBER(J889)),ROUND(F889*J889,0),IF(ISNUMBER(I889),I889,""))</f>
        <v/>
      </c>
      <c r="L889" s="33" t="n"/>
      <c r="M889" s="34">
        <f>IF(COUNTA(A889:B889,D889:I889,L889)=0,"",IF(B889="","案件番号がありません",IF(ISNA(MATCH(B889,'案件'!$A$6:$A$105,0)),"案件シートに無い番号です",IF(NOT(OR(D889="材料費",D889="労務費",D889="外注費",D889="経費")),"費目を4つから選んでください",IF(K889="",IF(AND(ISNUMBER(F889),NOT(ISNUMBER(J889))),IF(D889="労務費","単価がありません（設定の作業者名と同じ書き方に）","単価がありません"),IF(AND(ISNUMBER(J889),NOT(ISNUMBER(F889))),"数量がありません","金額がありません")),IF(NOT(ISNUMBER(A889)),"日付がありません（月別集計に入りません）",IF(AND(ISNUMBER(F889),ISNUMBER(J889),ISNUMBER(I889)),"数量×単価を使いました（金額の欄は使っていません）","")))))))</f>
        <v/>
      </c>
      <c r="N889" s="91">
        <f>IF(AND(B889&lt;&gt;"",B889='案件カード'!$C$3),COUNTIF($B$5:B889,'案件カード'!$C$3),"")</f>
        <v/>
      </c>
      <c r="O889" s="91">
        <f>IF(ISNUMBER(K889),IF(B889="",K889,IF(AND(ISNUMBER(MATCH(B889,'案件'!$A$6:$A$105,0)),OR(D889="材料費",D889="労務費",D889="外注費",D889="経費")),0,K889)),0)</f>
        <v/>
      </c>
    </row>
    <row r="890" ht="16" customHeight="1">
      <c r="A890" s="35" t="n"/>
      <c r="B890" s="36" t="n"/>
      <c r="C890" s="37">
        <f>IF(B890="","",IFERROR(INDEX('案件'!$B$6:$B$105,MATCH(B890,'案件'!$A$6:$A$105,0))&amp;"","（案件シートに無い番号）"))</f>
        <v/>
      </c>
      <c r="D890" s="36" t="n"/>
      <c r="E890" s="38" t="n"/>
      <c r="F890" s="39" t="n"/>
      <c r="G890" s="36" t="n"/>
      <c r="H890" s="40" t="n"/>
      <c r="I890" s="40" t="n"/>
      <c r="J890" s="41">
        <f>IF(ISNUMBER(H890),H890,IF(AND(D890="労務費",TRIM(E890)&lt;&gt;""),IFERROR(INDEX('設定'!$G$12:$G$31,MATCH(TRIM(E890),'設定'!$J$12:$J$31,0)),""),""))</f>
        <v/>
      </c>
      <c r="K890" s="30">
        <f>IF(AND(ISNUMBER(F890),ISNUMBER(J890)),ROUND(F890*J890,0),IF(ISNUMBER(I890),I890,""))</f>
        <v/>
      </c>
      <c r="L890" s="33" t="n"/>
      <c r="M890" s="34">
        <f>IF(COUNTA(A890:B890,D890:I890,L890)=0,"",IF(B890="","案件番号がありません",IF(ISNA(MATCH(B890,'案件'!$A$6:$A$105,0)),"案件シートに無い番号です",IF(NOT(OR(D890="材料費",D890="労務費",D890="外注費",D890="経費")),"費目を4つから選んでください",IF(K890="",IF(AND(ISNUMBER(F890),NOT(ISNUMBER(J890))),IF(D890="労務費","単価がありません（設定の作業者名と同じ書き方に）","単価がありません"),IF(AND(ISNUMBER(J890),NOT(ISNUMBER(F890))),"数量がありません","金額がありません")),IF(NOT(ISNUMBER(A890)),"日付がありません（月別集計に入りません）",IF(AND(ISNUMBER(F890),ISNUMBER(J890),ISNUMBER(I890)),"数量×単価を使いました（金額の欄は使っていません）","")))))))</f>
        <v/>
      </c>
      <c r="N890" s="91">
        <f>IF(AND(B890&lt;&gt;"",B890='案件カード'!$C$3),COUNTIF($B$5:B890,'案件カード'!$C$3),"")</f>
        <v/>
      </c>
      <c r="O890" s="91">
        <f>IF(ISNUMBER(K890),IF(B890="",K890,IF(AND(ISNUMBER(MATCH(B890,'案件'!$A$6:$A$105,0)),OR(D890="材料費",D890="労務費",D890="外注費",D890="経費")),0,K890)),0)</f>
        <v/>
      </c>
    </row>
    <row r="891" ht="16" customHeight="1">
      <c r="A891" s="35" t="n"/>
      <c r="B891" s="36" t="n"/>
      <c r="C891" s="37">
        <f>IF(B891="","",IFERROR(INDEX('案件'!$B$6:$B$105,MATCH(B891,'案件'!$A$6:$A$105,0))&amp;"","（案件シートに無い番号）"))</f>
        <v/>
      </c>
      <c r="D891" s="36" t="n"/>
      <c r="E891" s="38" t="n"/>
      <c r="F891" s="39" t="n"/>
      <c r="G891" s="36" t="n"/>
      <c r="H891" s="40" t="n"/>
      <c r="I891" s="40" t="n"/>
      <c r="J891" s="41">
        <f>IF(ISNUMBER(H891),H891,IF(AND(D891="労務費",TRIM(E891)&lt;&gt;""),IFERROR(INDEX('設定'!$G$12:$G$31,MATCH(TRIM(E891),'設定'!$J$12:$J$31,0)),""),""))</f>
        <v/>
      </c>
      <c r="K891" s="30">
        <f>IF(AND(ISNUMBER(F891),ISNUMBER(J891)),ROUND(F891*J891,0),IF(ISNUMBER(I891),I891,""))</f>
        <v/>
      </c>
      <c r="L891" s="33" t="n"/>
      <c r="M891" s="34">
        <f>IF(COUNTA(A891:B891,D891:I891,L891)=0,"",IF(B891="","案件番号がありません",IF(ISNA(MATCH(B891,'案件'!$A$6:$A$105,0)),"案件シートに無い番号です",IF(NOT(OR(D891="材料費",D891="労務費",D891="外注費",D891="経費")),"費目を4つから選んでください",IF(K891="",IF(AND(ISNUMBER(F891),NOT(ISNUMBER(J891))),IF(D891="労務費","単価がありません（設定の作業者名と同じ書き方に）","単価がありません"),IF(AND(ISNUMBER(J891),NOT(ISNUMBER(F891))),"数量がありません","金額がありません")),IF(NOT(ISNUMBER(A891)),"日付がありません（月別集計に入りません）",IF(AND(ISNUMBER(F891),ISNUMBER(J891),ISNUMBER(I891)),"数量×単価を使いました（金額の欄は使っていません）","")))))))</f>
        <v/>
      </c>
      <c r="N891" s="91">
        <f>IF(AND(B891&lt;&gt;"",B891='案件カード'!$C$3),COUNTIF($B$5:B891,'案件カード'!$C$3),"")</f>
        <v/>
      </c>
      <c r="O891" s="91">
        <f>IF(ISNUMBER(K891),IF(B891="",K891,IF(AND(ISNUMBER(MATCH(B891,'案件'!$A$6:$A$105,0)),OR(D891="材料費",D891="労務費",D891="外注費",D891="経費")),0,K891)),0)</f>
        <v/>
      </c>
    </row>
    <row r="892" ht="16" customHeight="1">
      <c r="A892" s="35" t="n"/>
      <c r="B892" s="36" t="n"/>
      <c r="C892" s="37">
        <f>IF(B892="","",IFERROR(INDEX('案件'!$B$6:$B$105,MATCH(B892,'案件'!$A$6:$A$105,0))&amp;"","（案件シートに無い番号）"))</f>
        <v/>
      </c>
      <c r="D892" s="36" t="n"/>
      <c r="E892" s="38" t="n"/>
      <c r="F892" s="39" t="n"/>
      <c r="G892" s="36" t="n"/>
      <c r="H892" s="40" t="n"/>
      <c r="I892" s="40" t="n"/>
      <c r="J892" s="41">
        <f>IF(ISNUMBER(H892),H892,IF(AND(D892="労務費",TRIM(E892)&lt;&gt;""),IFERROR(INDEX('設定'!$G$12:$G$31,MATCH(TRIM(E892),'設定'!$J$12:$J$31,0)),""),""))</f>
        <v/>
      </c>
      <c r="K892" s="30">
        <f>IF(AND(ISNUMBER(F892),ISNUMBER(J892)),ROUND(F892*J892,0),IF(ISNUMBER(I892),I892,""))</f>
        <v/>
      </c>
      <c r="L892" s="33" t="n"/>
      <c r="M892" s="34">
        <f>IF(COUNTA(A892:B892,D892:I892,L892)=0,"",IF(B892="","案件番号がありません",IF(ISNA(MATCH(B892,'案件'!$A$6:$A$105,0)),"案件シートに無い番号です",IF(NOT(OR(D892="材料費",D892="労務費",D892="外注費",D892="経費")),"費目を4つから選んでください",IF(K892="",IF(AND(ISNUMBER(F892),NOT(ISNUMBER(J892))),IF(D892="労務費","単価がありません（設定の作業者名と同じ書き方に）","単価がありません"),IF(AND(ISNUMBER(J892),NOT(ISNUMBER(F892))),"数量がありません","金額がありません")),IF(NOT(ISNUMBER(A892)),"日付がありません（月別集計に入りません）",IF(AND(ISNUMBER(F892),ISNUMBER(J892),ISNUMBER(I892)),"数量×単価を使いました（金額の欄は使っていません）","")))))))</f>
        <v/>
      </c>
      <c r="N892" s="91">
        <f>IF(AND(B892&lt;&gt;"",B892='案件カード'!$C$3),COUNTIF($B$5:B892,'案件カード'!$C$3),"")</f>
        <v/>
      </c>
      <c r="O892" s="91">
        <f>IF(ISNUMBER(K892),IF(B892="",K892,IF(AND(ISNUMBER(MATCH(B892,'案件'!$A$6:$A$105,0)),OR(D892="材料費",D892="労務費",D892="外注費",D892="経費")),0,K892)),0)</f>
        <v/>
      </c>
    </row>
    <row r="893" ht="16" customHeight="1">
      <c r="A893" s="35" t="n"/>
      <c r="B893" s="36" t="n"/>
      <c r="C893" s="37">
        <f>IF(B893="","",IFERROR(INDEX('案件'!$B$6:$B$105,MATCH(B893,'案件'!$A$6:$A$105,0))&amp;"","（案件シートに無い番号）"))</f>
        <v/>
      </c>
      <c r="D893" s="36" t="n"/>
      <c r="E893" s="38" t="n"/>
      <c r="F893" s="39" t="n"/>
      <c r="G893" s="36" t="n"/>
      <c r="H893" s="40" t="n"/>
      <c r="I893" s="40" t="n"/>
      <c r="J893" s="41">
        <f>IF(ISNUMBER(H893),H893,IF(AND(D893="労務費",TRIM(E893)&lt;&gt;""),IFERROR(INDEX('設定'!$G$12:$G$31,MATCH(TRIM(E893),'設定'!$J$12:$J$31,0)),""),""))</f>
        <v/>
      </c>
      <c r="K893" s="30">
        <f>IF(AND(ISNUMBER(F893),ISNUMBER(J893)),ROUND(F893*J893,0),IF(ISNUMBER(I893),I893,""))</f>
        <v/>
      </c>
      <c r="L893" s="33" t="n"/>
      <c r="M893" s="34">
        <f>IF(COUNTA(A893:B893,D893:I893,L893)=0,"",IF(B893="","案件番号がありません",IF(ISNA(MATCH(B893,'案件'!$A$6:$A$105,0)),"案件シートに無い番号です",IF(NOT(OR(D893="材料費",D893="労務費",D893="外注費",D893="経費")),"費目を4つから選んでください",IF(K893="",IF(AND(ISNUMBER(F893),NOT(ISNUMBER(J893))),IF(D893="労務費","単価がありません（設定の作業者名と同じ書き方に）","単価がありません"),IF(AND(ISNUMBER(J893),NOT(ISNUMBER(F893))),"数量がありません","金額がありません")),IF(NOT(ISNUMBER(A893)),"日付がありません（月別集計に入りません）",IF(AND(ISNUMBER(F893),ISNUMBER(J893),ISNUMBER(I893)),"数量×単価を使いました（金額の欄は使っていません）","")))))))</f>
        <v/>
      </c>
      <c r="N893" s="91">
        <f>IF(AND(B893&lt;&gt;"",B893='案件カード'!$C$3),COUNTIF($B$5:B893,'案件カード'!$C$3),"")</f>
        <v/>
      </c>
      <c r="O893" s="91">
        <f>IF(ISNUMBER(K893),IF(B893="",K893,IF(AND(ISNUMBER(MATCH(B893,'案件'!$A$6:$A$105,0)),OR(D893="材料費",D893="労務費",D893="外注費",D893="経費")),0,K893)),0)</f>
        <v/>
      </c>
    </row>
    <row r="894" ht="16" customHeight="1">
      <c r="A894" s="35" t="n"/>
      <c r="B894" s="36" t="n"/>
      <c r="C894" s="37">
        <f>IF(B894="","",IFERROR(INDEX('案件'!$B$6:$B$105,MATCH(B894,'案件'!$A$6:$A$105,0))&amp;"","（案件シートに無い番号）"))</f>
        <v/>
      </c>
      <c r="D894" s="36" t="n"/>
      <c r="E894" s="38" t="n"/>
      <c r="F894" s="39" t="n"/>
      <c r="G894" s="36" t="n"/>
      <c r="H894" s="40" t="n"/>
      <c r="I894" s="40" t="n"/>
      <c r="J894" s="41">
        <f>IF(ISNUMBER(H894),H894,IF(AND(D894="労務費",TRIM(E894)&lt;&gt;""),IFERROR(INDEX('設定'!$G$12:$G$31,MATCH(TRIM(E894),'設定'!$J$12:$J$31,0)),""),""))</f>
        <v/>
      </c>
      <c r="K894" s="30">
        <f>IF(AND(ISNUMBER(F894),ISNUMBER(J894)),ROUND(F894*J894,0),IF(ISNUMBER(I894),I894,""))</f>
        <v/>
      </c>
      <c r="L894" s="33" t="n"/>
      <c r="M894" s="34">
        <f>IF(COUNTA(A894:B894,D894:I894,L894)=0,"",IF(B894="","案件番号がありません",IF(ISNA(MATCH(B894,'案件'!$A$6:$A$105,0)),"案件シートに無い番号です",IF(NOT(OR(D894="材料費",D894="労務費",D894="外注費",D894="経費")),"費目を4つから選んでください",IF(K894="",IF(AND(ISNUMBER(F894),NOT(ISNUMBER(J894))),IF(D894="労務費","単価がありません（設定の作業者名と同じ書き方に）","単価がありません"),IF(AND(ISNUMBER(J894),NOT(ISNUMBER(F894))),"数量がありません","金額がありません")),IF(NOT(ISNUMBER(A894)),"日付がありません（月別集計に入りません）",IF(AND(ISNUMBER(F894),ISNUMBER(J894),ISNUMBER(I894)),"数量×単価を使いました（金額の欄は使っていません）","")))))))</f>
        <v/>
      </c>
      <c r="N894" s="91">
        <f>IF(AND(B894&lt;&gt;"",B894='案件カード'!$C$3),COUNTIF($B$5:B894,'案件カード'!$C$3),"")</f>
        <v/>
      </c>
      <c r="O894" s="91">
        <f>IF(ISNUMBER(K894),IF(B894="",K894,IF(AND(ISNUMBER(MATCH(B894,'案件'!$A$6:$A$105,0)),OR(D894="材料費",D894="労務費",D894="外注費",D894="経費")),0,K894)),0)</f>
        <v/>
      </c>
    </row>
    <row r="895" ht="16" customHeight="1">
      <c r="A895" s="35" t="n"/>
      <c r="B895" s="36" t="n"/>
      <c r="C895" s="37">
        <f>IF(B895="","",IFERROR(INDEX('案件'!$B$6:$B$105,MATCH(B895,'案件'!$A$6:$A$105,0))&amp;"","（案件シートに無い番号）"))</f>
        <v/>
      </c>
      <c r="D895" s="36" t="n"/>
      <c r="E895" s="38" t="n"/>
      <c r="F895" s="39" t="n"/>
      <c r="G895" s="36" t="n"/>
      <c r="H895" s="40" t="n"/>
      <c r="I895" s="40" t="n"/>
      <c r="J895" s="41">
        <f>IF(ISNUMBER(H895),H895,IF(AND(D895="労務費",TRIM(E895)&lt;&gt;""),IFERROR(INDEX('設定'!$G$12:$G$31,MATCH(TRIM(E895),'設定'!$J$12:$J$31,0)),""),""))</f>
        <v/>
      </c>
      <c r="K895" s="30">
        <f>IF(AND(ISNUMBER(F895),ISNUMBER(J895)),ROUND(F895*J895,0),IF(ISNUMBER(I895),I895,""))</f>
        <v/>
      </c>
      <c r="L895" s="33" t="n"/>
      <c r="M895" s="34">
        <f>IF(COUNTA(A895:B895,D895:I895,L895)=0,"",IF(B895="","案件番号がありません",IF(ISNA(MATCH(B895,'案件'!$A$6:$A$105,0)),"案件シートに無い番号です",IF(NOT(OR(D895="材料費",D895="労務費",D895="外注費",D895="経費")),"費目を4つから選んでください",IF(K895="",IF(AND(ISNUMBER(F895),NOT(ISNUMBER(J895))),IF(D895="労務費","単価がありません（設定の作業者名と同じ書き方に）","単価がありません"),IF(AND(ISNUMBER(J895),NOT(ISNUMBER(F895))),"数量がありません","金額がありません")),IF(NOT(ISNUMBER(A895)),"日付がありません（月別集計に入りません）",IF(AND(ISNUMBER(F895),ISNUMBER(J895),ISNUMBER(I895)),"数量×単価を使いました（金額の欄は使っていません）","")))))))</f>
        <v/>
      </c>
      <c r="N895" s="91">
        <f>IF(AND(B895&lt;&gt;"",B895='案件カード'!$C$3),COUNTIF($B$5:B895,'案件カード'!$C$3),"")</f>
        <v/>
      </c>
      <c r="O895" s="91">
        <f>IF(ISNUMBER(K895),IF(B895="",K895,IF(AND(ISNUMBER(MATCH(B895,'案件'!$A$6:$A$105,0)),OR(D895="材料費",D895="労務費",D895="外注費",D895="経費")),0,K895)),0)</f>
        <v/>
      </c>
    </row>
    <row r="896" ht="16" customHeight="1">
      <c r="A896" s="35" t="n"/>
      <c r="B896" s="36" t="n"/>
      <c r="C896" s="37">
        <f>IF(B896="","",IFERROR(INDEX('案件'!$B$6:$B$105,MATCH(B896,'案件'!$A$6:$A$105,0))&amp;"","（案件シートに無い番号）"))</f>
        <v/>
      </c>
      <c r="D896" s="36" t="n"/>
      <c r="E896" s="38" t="n"/>
      <c r="F896" s="39" t="n"/>
      <c r="G896" s="36" t="n"/>
      <c r="H896" s="40" t="n"/>
      <c r="I896" s="40" t="n"/>
      <c r="J896" s="41">
        <f>IF(ISNUMBER(H896),H896,IF(AND(D896="労務費",TRIM(E896)&lt;&gt;""),IFERROR(INDEX('設定'!$G$12:$G$31,MATCH(TRIM(E896),'設定'!$J$12:$J$31,0)),""),""))</f>
        <v/>
      </c>
      <c r="K896" s="30">
        <f>IF(AND(ISNUMBER(F896),ISNUMBER(J896)),ROUND(F896*J896,0),IF(ISNUMBER(I896),I896,""))</f>
        <v/>
      </c>
      <c r="L896" s="33" t="n"/>
      <c r="M896" s="34">
        <f>IF(COUNTA(A896:B896,D896:I896,L896)=0,"",IF(B896="","案件番号がありません",IF(ISNA(MATCH(B896,'案件'!$A$6:$A$105,0)),"案件シートに無い番号です",IF(NOT(OR(D896="材料費",D896="労務費",D896="外注費",D896="経費")),"費目を4つから選んでください",IF(K896="",IF(AND(ISNUMBER(F896),NOT(ISNUMBER(J896))),IF(D896="労務費","単価がありません（設定の作業者名と同じ書き方に）","単価がありません"),IF(AND(ISNUMBER(J896),NOT(ISNUMBER(F896))),"数量がありません","金額がありません")),IF(NOT(ISNUMBER(A896)),"日付がありません（月別集計に入りません）",IF(AND(ISNUMBER(F896),ISNUMBER(J896),ISNUMBER(I896)),"数量×単価を使いました（金額の欄は使っていません）","")))))))</f>
        <v/>
      </c>
      <c r="N896" s="91">
        <f>IF(AND(B896&lt;&gt;"",B896='案件カード'!$C$3),COUNTIF($B$5:B896,'案件カード'!$C$3),"")</f>
        <v/>
      </c>
      <c r="O896" s="91">
        <f>IF(ISNUMBER(K896),IF(B896="",K896,IF(AND(ISNUMBER(MATCH(B896,'案件'!$A$6:$A$105,0)),OR(D896="材料費",D896="労務費",D896="外注費",D896="経費")),0,K896)),0)</f>
        <v/>
      </c>
    </row>
    <row r="897" ht="16" customHeight="1">
      <c r="A897" s="35" t="n"/>
      <c r="B897" s="36" t="n"/>
      <c r="C897" s="37">
        <f>IF(B897="","",IFERROR(INDEX('案件'!$B$6:$B$105,MATCH(B897,'案件'!$A$6:$A$105,0))&amp;"","（案件シートに無い番号）"))</f>
        <v/>
      </c>
      <c r="D897" s="36" t="n"/>
      <c r="E897" s="38" t="n"/>
      <c r="F897" s="39" t="n"/>
      <c r="G897" s="36" t="n"/>
      <c r="H897" s="40" t="n"/>
      <c r="I897" s="40" t="n"/>
      <c r="J897" s="41">
        <f>IF(ISNUMBER(H897),H897,IF(AND(D897="労務費",TRIM(E897)&lt;&gt;""),IFERROR(INDEX('設定'!$G$12:$G$31,MATCH(TRIM(E897),'設定'!$J$12:$J$31,0)),""),""))</f>
        <v/>
      </c>
      <c r="K897" s="30">
        <f>IF(AND(ISNUMBER(F897),ISNUMBER(J897)),ROUND(F897*J897,0),IF(ISNUMBER(I897),I897,""))</f>
        <v/>
      </c>
      <c r="L897" s="33" t="n"/>
      <c r="M897" s="34">
        <f>IF(COUNTA(A897:B897,D897:I897,L897)=0,"",IF(B897="","案件番号がありません",IF(ISNA(MATCH(B897,'案件'!$A$6:$A$105,0)),"案件シートに無い番号です",IF(NOT(OR(D897="材料費",D897="労務費",D897="外注費",D897="経費")),"費目を4つから選んでください",IF(K897="",IF(AND(ISNUMBER(F897),NOT(ISNUMBER(J897))),IF(D897="労務費","単価がありません（設定の作業者名と同じ書き方に）","単価がありません"),IF(AND(ISNUMBER(J897),NOT(ISNUMBER(F897))),"数量がありません","金額がありません")),IF(NOT(ISNUMBER(A897)),"日付がありません（月別集計に入りません）",IF(AND(ISNUMBER(F897),ISNUMBER(J897),ISNUMBER(I897)),"数量×単価を使いました（金額の欄は使っていません）","")))))))</f>
        <v/>
      </c>
      <c r="N897" s="91">
        <f>IF(AND(B897&lt;&gt;"",B897='案件カード'!$C$3),COUNTIF($B$5:B897,'案件カード'!$C$3),"")</f>
        <v/>
      </c>
      <c r="O897" s="91">
        <f>IF(ISNUMBER(K897),IF(B897="",K897,IF(AND(ISNUMBER(MATCH(B897,'案件'!$A$6:$A$105,0)),OR(D897="材料費",D897="労務費",D897="外注費",D897="経費")),0,K897)),0)</f>
        <v/>
      </c>
    </row>
    <row r="898" ht="16" customHeight="1">
      <c r="A898" s="35" t="n"/>
      <c r="B898" s="36" t="n"/>
      <c r="C898" s="37">
        <f>IF(B898="","",IFERROR(INDEX('案件'!$B$6:$B$105,MATCH(B898,'案件'!$A$6:$A$105,0))&amp;"","（案件シートに無い番号）"))</f>
        <v/>
      </c>
      <c r="D898" s="36" t="n"/>
      <c r="E898" s="38" t="n"/>
      <c r="F898" s="39" t="n"/>
      <c r="G898" s="36" t="n"/>
      <c r="H898" s="40" t="n"/>
      <c r="I898" s="40" t="n"/>
      <c r="J898" s="41">
        <f>IF(ISNUMBER(H898),H898,IF(AND(D898="労務費",TRIM(E898)&lt;&gt;""),IFERROR(INDEX('設定'!$G$12:$G$31,MATCH(TRIM(E898),'設定'!$J$12:$J$31,0)),""),""))</f>
        <v/>
      </c>
      <c r="K898" s="30">
        <f>IF(AND(ISNUMBER(F898),ISNUMBER(J898)),ROUND(F898*J898,0),IF(ISNUMBER(I898),I898,""))</f>
        <v/>
      </c>
      <c r="L898" s="33" t="n"/>
      <c r="M898" s="34">
        <f>IF(COUNTA(A898:B898,D898:I898,L898)=0,"",IF(B898="","案件番号がありません",IF(ISNA(MATCH(B898,'案件'!$A$6:$A$105,0)),"案件シートに無い番号です",IF(NOT(OR(D898="材料費",D898="労務費",D898="外注費",D898="経費")),"費目を4つから選んでください",IF(K898="",IF(AND(ISNUMBER(F898),NOT(ISNUMBER(J898))),IF(D898="労務費","単価がありません（設定の作業者名と同じ書き方に）","単価がありません"),IF(AND(ISNUMBER(J898),NOT(ISNUMBER(F898))),"数量がありません","金額がありません")),IF(NOT(ISNUMBER(A898)),"日付がありません（月別集計に入りません）",IF(AND(ISNUMBER(F898),ISNUMBER(J898),ISNUMBER(I898)),"数量×単価を使いました（金額の欄は使っていません）","")))))))</f>
        <v/>
      </c>
      <c r="N898" s="91">
        <f>IF(AND(B898&lt;&gt;"",B898='案件カード'!$C$3),COUNTIF($B$5:B898,'案件カード'!$C$3),"")</f>
        <v/>
      </c>
      <c r="O898" s="91">
        <f>IF(ISNUMBER(K898),IF(B898="",K898,IF(AND(ISNUMBER(MATCH(B898,'案件'!$A$6:$A$105,0)),OR(D898="材料費",D898="労務費",D898="外注費",D898="経費")),0,K898)),0)</f>
        <v/>
      </c>
    </row>
    <row r="899" ht="16" customHeight="1">
      <c r="A899" s="35" t="n"/>
      <c r="B899" s="36" t="n"/>
      <c r="C899" s="37">
        <f>IF(B899="","",IFERROR(INDEX('案件'!$B$6:$B$105,MATCH(B899,'案件'!$A$6:$A$105,0))&amp;"","（案件シートに無い番号）"))</f>
        <v/>
      </c>
      <c r="D899" s="36" t="n"/>
      <c r="E899" s="38" t="n"/>
      <c r="F899" s="39" t="n"/>
      <c r="G899" s="36" t="n"/>
      <c r="H899" s="40" t="n"/>
      <c r="I899" s="40" t="n"/>
      <c r="J899" s="41">
        <f>IF(ISNUMBER(H899),H899,IF(AND(D899="労務費",TRIM(E899)&lt;&gt;""),IFERROR(INDEX('設定'!$G$12:$G$31,MATCH(TRIM(E899),'設定'!$J$12:$J$31,0)),""),""))</f>
        <v/>
      </c>
      <c r="K899" s="30">
        <f>IF(AND(ISNUMBER(F899),ISNUMBER(J899)),ROUND(F899*J899,0),IF(ISNUMBER(I899),I899,""))</f>
        <v/>
      </c>
      <c r="L899" s="33" t="n"/>
      <c r="M899" s="34">
        <f>IF(COUNTA(A899:B899,D899:I899,L899)=0,"",IF(B899="","案件番号がありません",IF(ISNA(MATCH(B899,'案件'!$A$6:$A$105,0)),"案件シートに無い番号です",IF(NOT(OR(D899="材料費",D899="労務費",D899="外注費",D899="経費")),"費目を4つから選んでください",IF(K899="",IF(AND(ISNUMBER(F899),NOT(ISNUMBER(J899))),IF(D899="労務費","単価がありません（設定の作業者名と同じ書き方に）","単価がありません"),IF(AND(ISNUMBER(J899),NOT(ISNUMBER(F899))),"数量がありません","金額がありません")),IF(NOT(ISNUMBER(A899)),"日付がありません（月別集計に入りません）",IF(AND(ISNUMBER(F899),ISNUMBER(J899),ISNUMBER(I899)),"数量×単価を使いました（金額の欄は使っていません）","")))))))</f>
        <v/>
      </c>
      <c r="N899" s="91">
        <f>IF(AND(B899&lt;&gt;"",B899='案件カード'!$C$3),COUNTIF($B$5:B899,'案件カード'!$C$3),"")</f>
        <v/>
      </c>
      <c r="O899" s="91">
        <f>IF(ISNUMBER(K899),IF(B899="",K899,IF(AND(ISNUMBER(MATCH(B899,'案件'!$A$6:$A$105,0)),OR(D899="材料費",D899="労務費",D899="外注費",D899="経費")),0,K899)),0)</f>
        <v/>
      </c>
    </row>
    <row r="900" ht="16" customHeight="1">
      <c r="A900" s="35" t="n"/>
      <c r="B900" s="36" t="n"/>
      <c r="C900" s="37">
        <f>IF(B900="","",IFERROR(INDEX('案件'!$B$6:$B$105,MATCH(B900,'案件'!$A$6:$A$105,0))&amp;"","（案件シートに無い番号）"))</f>
        <v/>
      </c>
      <c r="D900" s="36" t="n"/>
      <c r="E900" s="38" t="n"/>
      <c r="F900" s="39" t="n"/>
      <c r="G900" s="36" t="n"/>
      <c r="H900" s="40" t="n"/>
      <c r="I900" s="40" t="n"/>
      <c r="J900" s="41">
        <f>IF(ISNUMBER(H900),H900,IF(AND(D900="労務費",TRIM(E900)&lt;&gt;""),IFERROR(INDEX('設定'!$G$12:$G$31,MATCH(TRIM(E900),'設定'!$J$12:$J$31,0)),""),""))</f>
        <v/>
      </c>
      <c r="K900" s="30">
        <f>IF(AND(ISNUMBER(F900),ISNUMBER(J900)),ROUND(F900*J900,0),IF(ISNUMBER(I900),I900,""))</f>
        <v/>
      </c>
      <c r="L900" s="33" t="n"/>
      <c r="M900" s="34">
        <f>IF(COUNTA(A900:B900,D900:I900,L900)=0,"",IF(B900="","案件番号がありません",IF(ISNA(MATCH(B900,'案件'!$A$6:$A$105,0)),"案件シートに無い番号です",IF(NOT(OR(D900="材料費",D900="労務費",D900="外注費",D900="経費")),"費目を4つから選んでください",IF(K900="",IF(AND(ISNUMBER(F900),NOT(ISNUMBER(J900))),IF(D900="労務費","単価がありません（設定の作業者名と同じ書き方に）","単価がありません"),IF(AND(ISNUMBER(J900),NOT(ISNUMBER(F900))),"数量がありません","金額がありません")),IF(NOT(ISNUMBER(A900)),"日付がありません（月別集計に入りません）",IF(AND(ISNUMBER(F900),ISNUMBER(J900),ISNUMBER(I900)),"数量×単価を使いました（金額の欄は使っていません）","")))))))</f>
        <v/>
      </c>
      <c r="N900" s="91">
        <f>IF(AND(B900&lt;&gt;"",B900='案件カード'!$C$3),COUNTIF($B$5:B900,'案件カード'!$C$3),"")</f>
        <v/>
      </c>
      <c r="O900" s="91">
        <f>IF(ISNUMBER(K900),IF(B900="",K900,IF(AND(ISNUMBER(MATCH(B900,'案件'!$A$6:$A$105,0)),OR(D900="材料費",D900="労務費",D900="外注費",D900="経費")),0,K900)),0)</f>
        <v/>
      </c>
    </row>
    <row r="901" ht="16" customHeight="1">
      <c r="A901" s="35" t="n"/>
      <c r="B901" s="36" t="n"/>
      <c r="C901" s="37">
        <f>IF(B901="","",IFERROR(INDEX('案件'!$B$6:$B$105,MATCH(B901,'案件'!$A$6:$A$105,0))&amp;"","（案件シートに無い番号）"))</f>
        <v/>
      </c>
      <c r="D901" s="36" t="n"/>
      <c r="E901" s="38" t="n"/>
      <c r="F901" s="39" t="n"/>
      <c r="G901" s="36" t="n"/>
      <c r="H901" s="40" t="n"/>
      <c r="I901" s="40" t="n"/>
      <c r="J901" s="41">
        <f>IF(ISNUMBER(H901),H901,IF(AND(D901="労務費",TRIM(E901)&lt;&gt;""),IFERROR(INDEX('設定'!$G$12:$G$31,MATCH(TRIM(E901),'設定'!$J$12:$J$31,0)),""),""))</f>
        <v/>
      </c>
      <c r="K901" s="30">
        <f>IF(AND(ISNUMBER(F901),ISNUMBER(J901)),ROUND(F901*J901,0),IF(ISNUMBER(I901),I901,""))</f>
        <v/>
      </c>
      <c r="L901" s="33" t="n"/>
      <c r="M901" s="34">
        <f>IF(COUNTA(A901:B901,D901:I901,L901)=0,"",IF(B901="","案件番号がありません",IF(ISNA(MATCH(B901,'案件'!$A$6:$A$105,0)),"案件シートに無い番号です",IF(NOT(OR(D901="材料費",D901="労務費",D901="外注費",D901="経費")),"費目を4つから選んでください",IF(K901="",IF(AND(ISNUMBER(F901),NOT(ISNUMBER(J901))),IF(D901="労務費","単価がありません（設定の作業者名と同じ書き方に）","単価がありません"),IF(AND(ISNUMBER(J901),NOT(ISNUMBER(F901))),"数量がありません","金額がありません")),IF(NOT(ISNUMBER(A901)),"日付がありません（月別集計に入りません）",IF(AND(ISNUMBER(F901),ISNUMBER(J901),ISNUMBER(I901)),"数量×単価を使いました（金額の欄は使っていません）","")))))))</f>
        <v/>
      </c>
      <c r="N901" s="91">
        <f>IF(AND(B901&lt;&gt;"",B901='案件カード'!$C$3),COUNTIF($B$5:B901,'案件カード'!$C$3),"")</f>
        <v/>
      </c>
      <c r="O901" s="91">
        <f>IF(ISNUMBER(K901),IF(B901="",K901,IF(AND(ISNUMBER(MATCH(B901,'案件'!$A$6:$A$105,0)),OR(D901="材料費",D901="労務費",D901="外注費",D901="経費")),0,K901)),0)</f>
        <v/>
      </c>
    </row>
    <row r="902" ht="16" customHeight="1">
      <c r="A902" s="35" t="n"/>
      <c r="B902" s="36" t="n"/>
      <c r="C902" s="37">
        <f>IF(B902="","",IFERROR(INDEX('案件'!$B$6:$B$105,MATCH(B902,'案件'!$A$6:$A$105,0))&amp;"","（案件シートに無い番号）"))</f>
        <v/>
      </c>
      <c r="D902" s="36" t="n"/>
      <c r="E902" s="38" t="n"/>
      <c r="F902" s="39" t="n"/>
      <c r="G902" s="36" t="n"/>
      <c r="H902" s="40" t="n"/>
      <c r="I902" s="40" t="n"/>
      <c r="J902" s="41">
        <f>IF(ISNUMBER(H902),H902,IF(AND(D902="労務費",TRIM(E902)&lt;&gt;""),IFERROR(INDEX('設定'!$G$12:$G$31,MATCH(TRIM(E902),'設定'!$J$12:$J$31,0)),""),""))</f>
        <v/>
      </c>
      <c r="K902" s="30">
        <f>IF(AND(ISNUMBER(F902),ISNUMBER(J902)),ROUND(F902*J902,0),IF(ISNUMBER(I902),I902,""))</f>
        <v/>
      </c>
      <c r="L902" s="33" t="n"/>
      <c r="M902" s="34">
        <f>IF(COUNTA(A902:B902,D902:I902,L902)=0,"",IF(B902="","案件番号がありません",IF(ISNA(MATCH(B902,'案件'!$A$6:$A$105,0)),"案件シートに無い番号です",IF(NOT(OR(D902="材料費",D902="労務費",D902="外注費",D902="経費")),"費目を4つから選んでください",IF(K902="",IF(AND(ISNUMBER(F902),NOT(ISNUMBER(J902))),IF(D902="労務費","単価がありません（設定の作業者名と同じ書き方に）","単価がありません"),IF(AND(ISNUMBER(J902),NOT(ISNUMBER(F902))),"数量がありません","金額がありません")),IF(NOT(ISNUMBER(A902)),"日付がありません（月別集計に入りません）",IF(AND(ISNUMBER(F902),ISNUMBER(J902),ISNUMBER(I902)),"数量×単価を使いました（金額の欄は使っていません）","")))))))</f>
        <v/>
      </c>
      <c r="N902" s="91">
        <f>IF(AND(B902&lt;&gt;"",B902='案件カード'!$C$3),COUNTIF($B$5:B902,'案件カード'!$C$3),"")</f>
        <v/>
      </c>
      <c r="O902" s="91">
        <f>IF(ISNUMBER(K902),IF(B902="",K902,IF(AND(ISNUMBER(MATCH(B902,'案件'!$A$6:$A$105,0)),OR(D902="材料費",D902="労務費",D902="外注費",D902="経費")),0,K902)),0)</f>
        <v/>
      </c>
    </row>
    <row r="903" ht="16" customHeight="1">
      <c r="A903" s="35" t="n"/>
      <c r="B903" s="36" t="n"/>
      <c r="C903" s="37">
        <f>IF(B903="","",IFERROR(INDEX('案件'!$B$6:$B$105,MATCH(B903,'案件'!$A$6:$A$105,0))&amp;"","（案件シートに無い番号）"))</f>
        <v/>
      </c>
      <c r="D903" s="36" t="n"/>
      <c r="E903" s="38" t="n"/>
      <c r="F903" s="39" t="n"/>
      <c r="G903" s="36" t="n"/>
      <c r="H903" s="40" t="n"/>
      <c r="I903" s="40" t="n"/>
      <c r="J903" s="41">
        <f>IF(ISNUMBER(H903),H903,IF(AND(D903="労務費",TRIM(E903)&lt;&gt;""),IFERROR(INDEX('設定'!$G$12:$G$31,MATCH(TRIM(E903),'設定'!$J$12:$J$31,0)),""),""))</f>
        <v/>
      </c>
      <c r="K903" s="30">
        <f>IF(AND(ISNUMBER(F903),ISNUMBER(J903)),ROUND(F903*J903,0),IF(ISNUMBER(I903),I903,""))</f>
        <v/>
      </c>
      <c r="L903" s="33" t="n"/>
      <c r="M903" s="34">
        <f>IF(COUNTA(A903:B903,D903:I903,L903)=0,"",IF(B903="","案件番号がありません",IF(ISNA(MATCH(B903,'案件'!$A$6:$A$105,0)),"案件シートに無い番号です",IF(NOT(OR(D903="材料費",D903="労務費",D903="外注費",D903="経費")),"費目を4つから選んでください",IF(K903="",IF(AND(ISNUMBER(F903),NOT(ISNUMBER(J903))),IF(D903="労務費","単価がありません（設定の作業者名と同じ書き方に）","単価がありません"),IF(AND(ISNUMBER(J903),NOT(ISNUMBER(F903))),"数量がありません","金額がありません")),IF(NOT(ISNUMBER(A903)),"日付がありません（月別集計に入りません）",IF(AND(ISNUMBER(F903),ISNUMBER(J903),ISNUMBER(I903)),"数量×単価を使いました（金額の欄は使っていません）","")))))))</f>
        <v/>
      </c>
      <c r="N903" s="91">
        <f>IF(AND(B903&lt;&gt;"",B903='案件カード'!$C$3),COUNTIF($B$5:B903,'案件カード'!$C$3),"")</f>
        <v/>
      </c>
      <c r="O903" s="91">
        <f>IF(ISNUMBER(K903),IF(B903="",K903,IF(AND(ISNUMBER(MATCH(B903,'案件'!$A$6:$A$105,0)),OR(D903="材料費",D903="労務費",D903="外注費",D903="経費")),0,K903)),0)</f>
        <v/>
      </c>
    </row>
    <row r="904" ht="16" customHeight="1">
      <c r="A904" s="35" t="n"/>
      <c r="B904" s="36" t="n"/>
      <c r="C904" s="37">
        <f>IF(B904="","",IFERROR(INDEX('案件'!$B$6:$B$105,MATCH(B904,'案件'!$A$6:$A$105,0))&amp;"","（案件シートに無い番号）"))</f>
        <v/>
      </c>
      <c r="D904" s="36" t="n"/>
      <c r="E904" s="38" t="n"/>
      <c r="F904" s="39" t="n"/>
      <c r="G904" s="36" t="n"/>
      <c r="H904" s="40" t="n"/>
      <c r="I904" s="40" t="n"/>
      <c r="J904" s="41">
        <f>IF(ISNUMBER(H904),H904,IF(AND(D904="労務費",TRIM(E904)&lt;&gt;""),IFERROR(INDEX('設定'!$G$12:$G$31,MATCH(TRIM(E904),'設定'!$J$12:$J$31,0)),""),""))</f>
        <v/>
      </c>
      <c r="K904" s="30">
        <f>IF(AND(ISNUMBER(F904),ISNUMBER(J904)),ROUND(F904*J904,0),IF(ISNUMBER(I904),I904,""))</f>
        <v/>
      </c>
      <c r="L904" s="33" t="n"/>
      <c r="M904" s="34">
        <f>IF(COUNTA(A904:B904,D904:I904,L904)=0,"",IF(B904="","案件番号がありません",IF(ISNA(MATCH(B904,'案件'!$A$6:$A$105,0)),"案件シートに無い番号です",IF(NOT(OR(D904="材料費",D904="労務費",D904="外注費",D904="経費")),"費目を4つから選んでください",IF(K904="",IF(AND(ISNUMBER(F904),NOT(ISNUMBER(J904))),IF(D904="労務費","単価がありません（設定の作業者名と同じ書き方に）","単価がありません"),IF(AND(ISNUMBER(J904),NOT(ISNUMBER(F904))),"数量がありません","金額がありません")),IF(NOT(ISNUMBER(A904)),"日付がありません（月別集計に入りません）",IF(AND(ISNUMBER(F904),ISNUMBER(J904),ISNUMBER(I904)),"数量×単価を使いました（金額の欄は使っていません）","")))))))</f>
        <v/>
      </c>
      <c r="N904" s="91">
        <f>IF(AND(B904&lt;&gt;"",B904='案件カード'!$C$3),COUNTIF($B$5:B904,'案件カード'!$C$3),"")</f>
        <v/>
      </c>
      <c r="O904" s="91">
        <f>IF(ISNUMBER(K904),IF(B904="",K904,IF(AND(ISNUMBER(MATCH(B904,'案件'!$A$6:$A$105,0)),OR(D904="材料費",D904="労務費",D904="外注費",D904="経費")),0,K904)),0)</f>
        <v/>
      </c>
    </row>
    <row r="905" ht="16" customHeight="1">
      <c r="A905" s="35" t="n"/>
      <c r="B905" s="36" t="n"/>
      <c r="C905" s="37">
        <f>IF(B905="","",IFERROR(INDEX('案件'!$B$6:$B$105,MATCH(B905,'案件'!$A$6:$A$105,0))&amp;"","（案件シートに無い番号）"))</f>
        <v/>
      </c>
      <c r="D905" s="36" t="n"/>
      <c r="E905" s="38" t="n"/>
      <c r="F905" s="39" t="n"/>
      <c r="G905" s="36" t="n"/>
      <c r="H905" s="40" t="n"/>
      <c r="I905" s="40" t="n"/>
      <c r="J905" s="41">
        <f>IF(ISNUMBER(H905),H905,IF(AND(D905="労務費",TRIM(E905)&lt;&gt;""),IFERROR(INDEX('設定'!$G$12:$G$31,MATCH(TRIM(E905),'設定'!$J$12:$J$31,0)),""),""))</f>
        <v/>
      </c>
      <c r="K905" s="30">
        <f>IF(AND(ISNUMBER(F905),ISNUMBER(J905)),ROUND(F905*J905,0),IF(ISNUMBER(I905),I905,""))</f>
        <v/>
      </c>
      <c r="L905" s="33" t="n"/>
      <c r="M905" s="34">
        <f>IF(COUNTA(A905:B905,D905:I905,L905)=0,"",IF(B905="","案件番号がありません",IF(ISNA(MATCH(B905,'案件'!$A$6:$A$105,0)),"案件シートに無い番号です",IF(NOT(OR(D905="材料費",D905="労務費",D905="外注費",D905="経費")),"費目を4つから選んでください",IF(K905="",IF(AND(ISNUMBER(F905),NOT(ISNUMBER(J905))),IF(D905="労務費","単価がありません（設定の作業者名と同じ書き方に）","単価がありません"),IF(AND(ISNUMBER(J905),NOT(ISNUMBER(F905))),"数量がありません","金額がありません")),IF(NOT(ISNUMBER(A905)),"日付がありません（月別集計に入りません）",IF(AND(ISNUMBER(F905),ISNUMBER(J905),ISNUMBER(I905)),"数量×単価を使いました（金額の欄は使っていません）","")))))))</f>
        <v/>
      </c>
      <c r="N905" s="91">
        <f>IF(AND(B905&lt;&gt;"",B905='案件カード'!$C$3),COUNTIF($B$5:B905,'案件カード'!$C$3),"")</f>
        <v/>
      </c>
      <c r="O905" s="91">
        <f>IF(ISNUMBER(K905),IF(B905="",K905,IF(AND(ISNUMBER(MATCH(B905,'案件'!$A$6:$A$105,0)),OR(D905="材料費",D905="労務費",D905="外注費",D905="経費")),0,K905)),0)</f>
        <v/>
      </c>
    </row>
    <row r="906" ht="16" customHeight="1">
      <c r="A906" s="35" t="n"/>
      <c r="B906" s="36" t="n"/>
      <c r="C906" s="37">
        <f>IF(B906="","",IFERROR(INDEX('案件'!$B$6:$B$105,MATCH(B906,'案件'!$A$6:$A$105,0))&amp;"","（案件シートに無い番号）"))</f>
        <v/>
      </c>
      <c r="D906" s="36" t="n"/>
      <c r="E906" s="38" t="n"/>
      <c r="F906" s="39" t="n"/>
      <c r="G906" s="36" t="n"/>
      <c r="H906" s="40" t="n"/>
      <c r="I906" s="40" t="n"/>
      <c r="J906" s="41">
        <f>IF(ISNUMBER(H906),H906,IF(AND(D906="労務費",TRIM(E906)&lt;&gt;""),IFERROR(INDEX('設定'!$G$12:$G$31,MATCH(TRIM(E906),'設定'!$J$12:$J$31,0)),""),""))</f>
        <v/>
      </c>
      <c r="K906" s="30">
        <f>IF(AND(ISNUMBER(F906),ISNUMBER(J906)),ROUND(F906*J906,0),IF(ISNUMBER(I906),I906,""))</f>
        <v/>
      </c>
      <c r="L906" s="33" t="n"/>
      <c r="M906" s="34">
        <f>IF(COUNTA(A906:B906,D906:I906,L906)=0,"",IF(B906="","案件番号がありません",IF(ISNA(MATCH(B906,'案件'!$A$6:$A$105,0)),"案件シートに無い番号です",IF(NOT(OR(D906="材料費",D906="労務費",D906="外注費",D906="経費")),"費目を4つから選んでください",IF(K906="",IF(AND(ISNUMBER(F906),NOT(ISNUMBER(J906))),IF(D906="労務費","単価がありません（設定の作業者名と同じ書き方に）","単価がありません"),IF(AND(ISNUMBER(J906),NOT(ISNUMBER(F906))),"数量がありません","金額がありません")),IF(NOT(ISNUMBER(A906)),"日付がありません（月別集計に入りません）",IF(AND(ISNUMBER(F906),ISNUMBER(J906),ISNUMBER(I906)),"数量×単価を使いました（金額の欄は使っていません）","")))))))</f>
        <v/>
      </c>
      <c r="N906" s="91">
        <f>IF(AND(B906&lt;&gt;"",B906='案件カード'!$C$3),COUNTIF($B$5:B906,'案件カード'!$C$3),"")</f>
        <v/>
      </c>
      <c r="O906" s="91">
        <f>IF(ISNUMBER(K906),IF(B906="",K906,IF(AND(ISNUMBER(MATCH(B906,'案件'!$A$6:$A$105,0)),OR(D906="材料費",D906="労務費",D906="外注費",D906="経費")),0,K906)),0)</f>
        <v/>
      </c>
    </row>
    <row r="907" ht="16" customHeight="1">
      <c r="A907" s="35" t="n"/>
      <c r="B907" s="36" t="n"/>
      <c r="C907" s="37">
        <f>IF(B907="","",IFERROR(INDEX('案件'!$B$6:$B$105,MATCH(B907,'案件'!$A$6:$A$105,0))&amp;"","（案件シートに無い番号）"))</f>
        <v/>
      </c>
      <c r="D907" s="36" t="n"/>
      <c r="E907" s="38" t="n"/>
      <c r="F907" s="39" t="n"/>
      <c r="G907" s="36" t="n"/>
      <c r="H907" s="40" t="n"/>
      <c r="I907" s="40" t="n"/>
      <c r="J907" s="41">
        <f>IF(ISNUMBER(H907),H907,IF(AND(D907="労務費",TRIM(E907)&lt;&gt;""),IFERROR(INDEX('設定'!$G$12:$G$31,MATCH(TRIM(E907),'設定'!$J$12:$J$31,0)),""),""))</f>
        <v/>
      </c>
      <c r="K907" s="30">
        <f>IF(AND(ISNUMBER(F907),ISNUMBER(J907)),ROUND(F907*J907,0),IF(ISNUMBER(I907),I907,""))</f>
        <v/>
      </c>
      <c r="L907" s="33" t="n"/>
      <c r="M907" s="34">
        <f>IF(COUNTA(A907:B907,D907:I907,L907)=0,"",IF(B907="","案件番号がありません",IF(ISNA(MATCH(B907,'案件'!$A$6:$A$105,0)),"案件シートに無い番号です",IF(NOT(OR(D907="材料費",D907="労務費",D907="外注費",D907="経費")),"費目を4つから選んでください",IF(K907="",IF(AND(ISNUMBER(F907),NOT(ISNUMBER(J907))),IF(D907="労務費","単価がありません（設定の作業者名と同じ書き方に）","単価がありません"),IF(AND(ISNUMBER(J907),NOT(ISNUMBER(F907))),"数量がありません","金額がありません")),IF(NOT(ISNUMBER(A907)),"日付がありません（月別集計に入りません）",IF(AND(ISNUMBER(F907),ISNUMBER(J907),ISNUMBER(I907)),"数量×単価を使いました（金額の欄は使っていません）","")))))))</f>
        <v/>
      </c>
      <c r="N907" s="91">
        <f>IF(AND(B907&lt;&gt;"",B907='案件カード'!$C$3),COUNTIF($B$5:B907,'案件カード'!$C$3),"")</f>
        <v/>
      </c>
      <c r="O907" s="91">
        <f>IF(ISNUMBER(K907),IF(B907="",K907,IF(AND(ISNUMBER(MATCH(B907,'案件'!$A$6:$A$105,0)),OR(D907="材料費",D907="労務費",D907="外注費",D907="経費")),0,K907)),0)</f>
        <v/>
      </c>
    </row>
    <row r="908" ht="16" customHeight="1">
      <c r="A908" s="35" t="n"/>
      <c r="B908" s="36" t="n"/>
      <c r="C908" s="37">
        <f>IF(B908="","",IFERROR(INDEX('案件'!$B$6:$B$105,MATCH(B908,'案件'!$A$6:$A$105,0))&amp;"","（案件シートに無い番号）"))</f>
        <v/>
      </c>
      <c r="D908" s="36" t="n"/>
      <c r="E908" s="38" t="n"/>
      <c r="F908" s="39" t="n"/>
      <c r="G908" s="36" t="n"/>
      <c r="H908" s="40" t="n"/>
      <c r="I908" s="40" t="n"/>
      <c r="J908" s="41">
        <f>IF(ISNUMBER(H908),H908,IF(AND(D908="労務費",TRIM(E908)&lt;&gt;""),IFERROR(INDEX('設定'!$G$12:$G$31,MATCH(TRIM(E908),'設定'!$J$12:$J$31,0)),""),""))</f>
        <v/>
      </c>
      <c r="K908" s="30">
        <f>IF(AND(ISNUMBER(F908),ISNUMBER(J908)),ROUND(F908*J908,0),IF(ISNUMBER(I908),I908,""))</f>
        <v/>
      </c>
      <c r="L908" s="33" t="n"/>
      <c r="M908" s="34">
        <f>IF(COUNTA(A908:B908,D908:I908,L908)=0,"",IF(B908="","案件番号がありません",IF(ISNA(MATCH(B908,'案件'!$A$6:$A$105,0)),"案件シートに無い番号です",IF(NOT(OR(D908="材料費",D908="労務費",D908="外注費",D908="経費")),"費目を4つから選んでください",IF(K908="",IF(AND(ISNUMBER(F908),NOT(ISNUMBER(J908))),IF(D908="労務費","単価がありません（設定の作業者名と同じ書き方に）","単価がありません"),IF(AND(ISNUMBER(J908),NOT(ISNUMBER(F908))),"数量がありません","金額がありません")),IF(NOT(ISNUMBER(A908)),"日付がありません（月別集計に入りません）",IF(AND(ISNUMBER(F908),ISNUMBER(J908),ISNUMBER(I908)),"数量×単価を使いました（金額の欄は使っていません）","")))))))</f>
        <v/>
      </c>
      <c r="N908" s="91">
        <f>IF(AND(B908&lt;&gt;"",B908='案件カード'!$C$3),COUNTIF($B$5:B908,'案件カード'!$C$3),"")</f>
        <v/>
      </c>
      <c r="O908" s="91">
        <f>IF(ISNUMBER(K908),IF(B908="",K908,IF(AND(ISNUMBER(MATCH(B908,'案件'!$A$6:$A$105,0)),OR(D908="材料費",D908="労務費",D908="外注費",D908="経費")),0,K908)),0)</f>
        <v/>
      </c>
    </row>
    <row r="909" ht="16" customHeight="1">
      <c r="A909" s="35" t="n"/>
      <c r="B909" s="36" t="n"/>
      <c r="C909" s="37">
        <f>IF(B909="","",IFERROR(INDEX('案件'!$B$6:$B$105,MATCH(B909,'案件'!$A$6:$A$105,0))&amp;"","（案件シートに無い番号）"))</f>
        <v/>
      </c>
      <c r="D909" s="36" t="n"/>
      <c r="E909" s="38" t="n"/>
      <c r="F909" s="39" t="n"/>
      <c r="G909" s="36" t="n"/>
      <c r="H909" s="40" t="n"/>
      <c r="I909" s="40" t="n"/>
      <c r="J909" s="41">
        <f>IF(ISNUMBER(H909),H909,IF(AND(D909="労務費",TRIM(E909)&lt;&gt;""),IFERROR(INDEX('設定'!$G$12:$G$31,MATCH(TRIM(E909),'設定'!$J$12:$J$31,0)),""),""))</f>
        <v/>
      </c>
      <c r="K909" s="30">
        <f>IF(AND(ISNUMBER(F909),ISNUMBER(J909)),ROUND(F909*J909,0),IF(ISNUMBER(I909),I909,""))</f>
        <v/>
      </c>
      <c r="L909" s="33" t="n"/>
      <c r="M909" s="34">
        <f>IF(COUNTA(A909:B909,D909:I909,L909)=0,"",IF(B909="","案件番号がありません",IF(ISNA(MATCH(B909,'案件'!$A$6:$A$105,0)),"案件シートに無い番号です",IF(NOT(OR(D909="材料費",D909="労務費",D909="外注費",D909="経費")),"費目を4つから選んでください",IF(K909="",IF(AND(ISNUMBER(F909),NOT(ISNUMBER(J909))),IF(D909="労務費","単価がありません（設定の作業者名と同じ書き方に）","単価がありません"),IF(AND(ISNUMBER(J909),NOT(ISNUMBER(F909))),"数量がありません","金額がありません")),IF(NOT(ISNUMBER(A909)),"日付がありません（月別集計に入りません）",IF(AND(ISNUMBER(F909),ISNUMBER(J909),ISNUMBER(I909)),"数量×単価を使いました（金額の欄は使っていません）","")))))))</f>
        <v/>
      </c>
      <c r="N909" s="91">
        <f>IF(AND(B909&lt;&gt;"",B909='案件カード'!$C$3),COUNTIF($B$5:B909,'案件カード'!$C$3),"")</f>
        <v/>
      </c>
      <c r="O909" s="91">
        <f>IF(ISNUMBER(K909),IF(B909="",K909,IF(AND(ISNUMBER(MATCH(B909,'案件'!$A$6:$A$105,0)),OR(D909="材料費",D909="労務費",D909="外注費",D909="経費")),0,K909)),0)</f>
        <v/>
      </c>
    </row>
    <row r="910" ht="16" customHeight="1">
      <c r="A910" s="35" t="n"/>
      <c r="B910" s="36" t="n"/>
      <c r="C910" s="37">
        <f>IF(B910="","",IFERROR(INDEX('案件'!$B$6:$B$105,MATCH(B910,'案件'!$A$6:$A$105,0))&amp;"","（案件シートに無い番号）"))</f>
        <v/>
      </c>
      <c r="D910" s="36" t="n"/>
      <c r="E910" s="38" t="n"/>
      <c r="F910" s="39" t="n"/>
      <c r="G910" s="36" t="n"/>
      <c r="H910" s="40" t="n"/>
      <c r="I910" s="40" t="n"/>
      <c r="J910" s="41">
        <f>IF(ISNUMBER(H910),H910,IF(AND(D910="労務費",TRIM(E910)&lt;&gt;""),IFERROR(INDEX('設定'!$G$12:$G$31,MATCH(TRIM(E910),'設定'!$J$12:$J$31,0)),""),""))</f>
        <v/>
      </c>
      <c r="K910" s="30">
        <f>IF(AND(ISNUMBER(F910),ISNUMBER(J910)),ROUND(F910*J910,0),IF(ISNUMBER(I910),I910,""))</f>
        <v/>
      </c>
      <c r="L910" s="33" t="n"/>
      <c r="M910" s="34">
        <f>IF(COUNTA(A910:B910,D910:I910,L910)=0,"",IF(B910="","案件番号がありません",IF(ISNA(MATCH(B910,'案件'!$A$6:$A$105,0)),"案件シートに無い番号です",IF(NOT(OR(D910="材料費",D910="労務費",D910="外注費",D910="経費")),"費目を4つから選んでください",IF(K910="",IF(AND(ISNUMBER(F910),NOT(ISNUMBER(J910))),IF(D910="労務費","単価がありません（設定の作業者名と同じ書き方に）","単価がありません"),IF(AND(ISNUMBER(J910),NOT(ISNUMBER(F910))),"数量がありません","金額がありません")),IF(NOT(ISNUMBER(A910)),"日付がありません（月別集計に入りません）",IF(AND(ISNUMBER(F910),ISNUMBER(J910),ISNUMBER(I910)),"数量×単価を使いました（金額の欄は使っていません）","")))))))</f>
        <v/>
      </c>
      <c r="N910" s="91">
        <f>IF(AND(B910&lt;&gt;"",B910='案件カード'!$C$3),COUNTIF($B$5:B910,'案件カード'!$C$3),"")</f>
        <v/>
      </c>
      <c r="O910" s="91">
        <f>IF(ISNUMBER(K910),IF(B910="",K910,IF(AND(ISNUMBER(MATCH(B910,'案件'!$A$6:$A$105,0)),OR(D910="材料費",D910="労務費",D910="外注費",D910="経費")),0,K910)),0)</f>
        <v/>
      </c>
    </row>
    <row r="911" ht="16" customHeight="1">
      <c r="A911" s="35" t="n"/>
      <c r="B911" s="36" t="n"/>
      <c r="C911" s="37">
        <f>IF(B911="","",IFERROR(INDEX('案件'!$B$6:$B$105,MATCH(B911,'案件'!$A$6:$A$105,0))&amp;"","（案件シートに無い番号）"))</f>
        <v/>
      </c>
      <c r="D911" s="36" t="n"/>
      <c r="E911" s="38" t="n"/>
      <c r="F911" s="39" t="n"/>
      <c r="G911" s="36" t="n"/>
      <c r="H911" s="40" t="n"/>
      <c r="I911" s="40" t="n"/>
      <c r="J911" s="41">
        <f>IF(ISNUMBER(H911),H911,IF(AND(D911="労務費",TRIM(E911)&lt;&gt;""),IFERROR(INDEX('設定'!$G$12:$G$31,MATCH(TRIM(E911),'設定'!$J$12:$J$31,0)),""),""))</f>
        <v/>
      </c>
      <c r="K911" s="30">
        <f>IF(AND(ISNUMBER(F911),ISNUMBER(J911)),ROUND(F911*J911,0),IF(ISNUMBER(I911),I911,""))</f>
        <v/>
      </c>
      <c r="L911" s="33" t="n"/>
      <c r="M911" s="34">
        <f>IF(COUNTA(A911:B911,D911:I911,L911)=0,"",IF(B911="","案件番号がありません",IF(ISNA(MATCH(B911,'案件'!$A$6:$A$105,0)),"案件シートに無い番号です",IF(NOT(OR(D911="材料費",D911="労務費",D911="外注費",D911="経費")),"費目を4つから選んでください",IF(K911="",IF(AND(ISNUMBER(F911),NOT(ISNUMBER(J911))),IF(D911="労務費","単価がありません（設定の作業者名と同じ書き方に）","単価がありません"),IF(AND(ISNUMBER(J911),NOT(ISNUMBER(F911))),"数量がありません","金額がありません")),IF(NOT(ISNUMBER(A911)),"日付がありません（月別集計に入りません）",IF(AND(ISNUMBER(F911),ISNUMBER(J911),ISNUMBER(I911)),"数量×単価を使いました（金額の欄は使っていません）","")))))))</f>
        <v/>
      </c>
      <c r="N911" s="91">
        <f>IF(AND(B911&lt;&gt;"",B911='案件カード'!$C$3),COUNTIF($B$5:B911,'案件カード'!$C$3),"")</f>
        <v/>
      </c>
      <c r="O911" s="91">
        <f>IF(ISNUMBER(K911),IF(B911="",K911,IF(AND(ISNUMBER(MATCH(B911,'案件'!$A$6:$A$105,0)),OR(D911="材料費",D911="労務費",D911="外注費",D911="経費")),0,K911)),0)</f>
        <v/>
      </c>
    </row>
    <row r="912" ht="16" customHeight="1">
      <c r="A912" s="35" t="n"/>
      <c r="B912" s="36" t="n"/>
      <c r="C912" s="37">
        <f>IF(B912="","",IFERROR(INDEX('案件'!$B$6:$B$105,MATCH(B912,'案件'!$A$6:$A$105,0))&amp;"","（案件シートに無い番号）"))</f>
        <v/>
      </c>
      <c r="D912" s="36" t="n"/>
      <c r="E912" s="38" t="n"/>
      <c r="F912" s="39" t="n"/>
      <c r="G912" s="36" t="n"/>
      <c r="H912" s="40" t="n"/>
      <c r="I912" s="40" t="n"/>
      <c r="J912" s="41">
        <f>IF(ISNUMBER(H912),H912,IF(AND(D912="労務費",TRIM(E912)&lt;&gt;""),IFERROR(INDEX('設定'!$G$12:$G$31,MATCH(TRIM(E912),'設定'!$J$12:$J$31,0)),""),""))</f>
        <v/>
      </c>
      <c r="K912" s="30">
        <f>IF(AND(ISNUMBER(F912),ISNUMBER(J912)),ROUND(F912*J912,0),IF(ISNUMBER(I912),I912,""))</f>
        <v/>
      </c>
      <c r="L912" s="33" t="n"/>
      <c r="M912" s="34">
        <f>IF(COUNTA(A912:B912,D912:I912,L912)=0,"",IF(B912="","案件番号がありません",IF(ISNA(MATCH(B912,'案件'!$A$6:$A$105,0)),"案件シートに無い番号です",IF(NOT(OR(D912="材料費",D912="労務費",D912="外注費",D912="経費")),"費目を4つから選んでください",IF(K912="",IF(AND(ISNUMBER(F912),NOT(ISNUMBER(J912))),IF(D912="労務費","単価がありません（設定の作業者名と同じ書き方に）","単価がありません"),IF(AND(ISNUMBER(J912),NOT(ISNUMBER(F912))),"数量がありません","金額がありません")),IF(NOT(ISNUMBER(A912)),"日付がありません（月別集計に入りません）",IF(AND(ISNUMBER(F912),ISNUMBER(J912),ISNUMBER(I912)),"数量×単価を使いました（金額の欄は使っていません）","")))))))</f>
        <v/>
      </c>
      <c r="N912" s="91">
        <f>IF(AND(B912&lt;&gt;"",B912='案件カード'!$C$3),COUNTIF($B$5:B912,'案件カード'!$C$3),"")</f>
        <v/>
      </c>
      <c r="O912" s="91">
        <f>IF(ISNUMBER(K912),IF(B912="",K912,IF(AND(ISNUMBER(MATCH(B912,'案件'!$A$6:$A$105,0)),OR(D912="材料費",D912="労務費",D912="外注費",D912="経費")),0,K912)),0)</f>
        <v/>
      </c>
    </row>
    <row r="913" ht="16" customHeight="1">
      <c r="A913" s="35" t="n"/>
      <c r="B913" s="36" t="n"/>
      <c r="C913" s="37">
        <f>IF(B913="","",IFERROR(INDEX('案件'!$B$6:$B$105,MATCH(B913,'案件'!$A$6:$A$105,0))&amp;"","（案件シートに無い番号）"))</f>
        <v/>
      </c>
      <c r="D913" s="36" t="n"/>
      <c r="E913" s="38" t="n"/>
      <c r="F913" s="39" t="n"/>
      <c r="G913" s="36" t="n"/>
      <c r="H913" s="40" t="n"/>
      <c r="I913" s="40" t="n"/>
      <c r="J913" s="41">
        <f>IF(ISNUMBER(H913),H913,IF(AND(D913="労務費",TRIM(E913)&lt;&gt;""),IFERROR(INDEX('設定'!$G$12:$G$31,MATCH(TRIM(E913),'設定'!$J$12:$J$31,0)),""),""))</f>
        <v/>
      </c>
      <c r="K913" s="30">
        <f>IF(AND(ISNUMBER(F913),ISNUMBER(J913)),ROUND(F913*J913,0),IF(ISNUMBER(I913),I913,""))</f>
        <v/>
      </c>
      <c r="L913" s="33" t="n"/>
      <c r="M913" s="34">
        <f>IF(COUNTA(A913:B913,D913:I913,L913)=0,"",IF(B913="","案件番号がありません",IF(ISNA(MATCH(B913,'案件'!$A$6:$A$105,0)),"案件シートに無い番号です",IF(NOT(OR(D913="材料費",D913="労務費",D913="外注費",D913="経費")),"費目を4つから選んでください",IF(K913="",IF(AND(ISNUMBER(F913),NOT(ISNUMBER(J913))),IF(D913="労務費","単価がありません（設定の作業者名と同じ書き方に）","単価がありません"),IF(AND(ISNUMBER(J913),NOT(ISNUMBER(F913))),"数量がありません","金額がありません")),IF(NOT(ISNUMBER(A913)),"日付がありません（月別集計に入りません）",IF(AND(ISNUMBER(F913),ISNUMBER(J913),ISNUMBER(I913)),"数量×単価を使いました（金額の欄は使っていません）","")))))))</f>
        <v/>
      </c>
      <c r="N913" s="91">
        <f>IF(AND(B913&lt;&gt;"",B913='案件カード'!$C$3),COUNTIF($B$5:B913,'案件カード'!$C$3),"")</f>
        <v/>
      </c>
      <c r="O913" s="91">
        <f>IF(ISNUMBER(K913),IF(B913="",K913,IF(AND(ISNUMBER(MATCH(B913,'案件'!$A$6:$A$105,0)),OR(D913="材料費",D913="労務費",D913="外注費",D913="経費")),0,K913)),0)</f>
        <v/>
      </c>
    </row>
    <row r="914" ht="16" customHeight="1">
      <c r="A914" s="35" t="n"/>
      <c r="B914" s="36" t="n"/>
      <c r="C914" s="37">
        <f>IF(B914="","",IFERROR(INDEX('案件'!$B$6:$B$105,MATCH(B914,'案件'!$A$6:$A$105,0))&amp;"","（案件シートに無い番号）"))</f>
        <v/>
      </c>
      <c r="D914" s="36" t="n"/>
      <c r="E914" s="38" t="n"/>
      <c r="F914" s="39" t="n"/>
      <c r="G914" s="36" t="n"/>
      <c r="H914" s="40" t="n"/>
      <c r="I914" s="40" t="n"/>
      <c r="J914" s="41">
        <f>IF(ISNUMBER(H914),H914,IF(AND(D914="労務費",TRIM(E914)&lt;&gt;""),IFERROR(INDEX('設定'!$G$12:$G$31,MATCH(TRIM(E914),'設定'!$J$12:$J$31,0)),""),""))</f>
        <v/>
      </c>
      <c r="K914" s="30">
        <f>IF(AND(ISNUMBER(F914),ISNUMBER(J914)),ROUND(F914*J914,0),IF(ISNUMBER(I914),I914,""))</f>
        <v/>
      </c>
      <c r="L914" s="33" t="n"/>
      <c r="M914" s="34">
        <f>IF(COUNTA(A914:B914,D914:I914,L914)=0,"",IF(B914="","案件番号がありません",IF(ISNA(MATCH(B914,'案件'!$A$6:$A$105,0)),"案件シートに無い番号です",IF(NOT(OR(D914="材料費",D914="労務費",D914="外注費",D914="経費")),"費目を4つから選んでください",IF(K914="",IF(AND(ISNUMBER(F914),NOT(ISNUMBER(J914))),IF(D914="労務費","単価がありません（設定の作業者名と同じ書き方に）","単価がありません"),IF(AND(ISNUMBER(J914),NOT(ISNUMBER(F914))),"数量がありません","金額がありません")),IF(NOT(ISNUMBER(A914)),"日付がありません（月別集計に入りません）",IF(AND(ISNUMBER(F914),ISNUMBER(J914),ISNUMBER(I914)),"数量×単価を使いました（金額の欄は使っていません）","")))))))</f>
        <v/>
      </c>
      <c r="N914" s="91">
        <f>IF(AND(B914&lt;&gt;"",B914='案件カード'!$C$3),COUNTIF($B$5:B914,'案件カード'!$C$3),"")</f>
        <v/>
      </c>
      <c r="O914" s="91">
        <f>IF(ISNUMBER(K914),IF(B914="",K914,IF(AND(ISNUMBER(MATCH(B914,'案件'!$A$6:$A$105,0)),OR(D914="材料費",D914="労務費",D914="外注費",D914="経費")),0,K914)),0)</f>
        <v/>
      </c>
    </row>
    <row r="915" ht="16" customHeight="1">
      <c r="A915" s="35" t="n"/>
      <c r="B915" s="36" t="n"/>
      <c r="C915" s="37">
        <f>IF(B915="","",IFERROR(INDEX('案件'!$B$6:$B$105,MATCH(B915,'案件'!$A$6:$A$105,0))&amp;"","（案件シートに無い番号）"))</f>
        <v/>
      </c>
      <c r="D915" s="36" t="n"/>
      <c r="E915" s="38" t="n"/>
      <c r="F915" s="39" t="n"/>
      <c r="G915" s="36" t="n"/>
      <c r="H915" s="40" t="n"/>
      <c r="I915" s="40" t="n"/>
      <c r="J915" s="41">
        <f>IF(ISNUMBER(H915),H915,IF(AND(D915="労務費",TRIM(E915)&lt;&gt;""),IFERROR(INDEX('設定'!$G$12:$G$31,MATCH(TRIM(E915),'設定'!$J$12:$J$31,0)),""),""))</f>
        <v/>
      </c>
      <c r="K915" s="30">
        <f>IF(AND(ISNUMBER(F915),ISNUMBER(J915)),ROUND(F915*J915,0),IF(ISNUMBER(I915),I915,""))</f>
        <v/>
      </c>
      <c r="L915" s="33" t="n"/>
      <c r="M915" s="34">
        <f>IF(COUNTA(A915:B915,D915:I915,L915)=0,"",IF(B915="","案件番号がありません",IF(ISNA(MATCH(B915,'案件'!$A$6:$A$105,0)),"案件シートに無い番号です",IF(NOT(OR(D915="材料費",D915="労務費",D915="外注費",D915="経費")),"費目を4つから選んでください",IF(K915="",IF(AND(ISNUMBER(F915),NOT(ISNUMBER(J915))),IF(D915="労務費","単価がありません（設定の作業者名と同じ書き方に）","単価がありません"),IF(AND(ISNUMBER(J915),NOT(ISNUMBER(F915))),"数量がありません","金額がありません")),IF(NOT(ISNUMBER(A915)),"日付がありません（月別集計に入りません）",IF(AND(ISNUMBER(F915),ISNUMBER(J915),ISNUMBER(I915)),"数量×単価を使いました（金額の欄は使っていません）","")))))))</f>
        <v/>
      </c>
      <c r="N915" s="91">
        <f>IF(AND(B915&lt;&gt;"",B915='案件カード'!$C$3),COUNTIF($B$5:B915,'案件カード'!$C$3),"")</f>
        <v/>
      </c>
      <c r="O915" s="91">
        <f>IF(ISNUMBER(K915),IF(B915="",K915,IF(AND(ISNUMBER(MATCH(B915,'案件'!$A$6:$A$105,0)),OR(D915="材料費",D915="労務費",D915="外注費",D915="経費")),0,K915)),0)</f>
        <v/>
      </c>
    </row>
    <row r="916" ht="16" customHeight="1">
      <c r="A916" s="35" t="n"/>
      <c r="B916" s="36" t="n"/>
      <c r="C916" s="37">
        <f>IF(B916="","",IFERROR(INDEX('案件'!$B$6:$B$105,MATCH(B916,'案件'!$A$6:$A$105,0))&amp;"","（案件シートに無い番号）"))</f>
        <v/>
      </c>
      <c r="D916" s="36" t="n"/>
      <c r="E916" s="38" t="n"/>
      <c r="F916" s="39" t="n"/>
      <c r="G916" s="36" t="n"/>
      <c r="H916" s="40" t="n"/>
      <c r="I916" s="40" t="n"/>
      <c r="J916" s="41">
        <f>IF(ISNUMBER(H916),H916,IF(AND(D916="労務費",TRIM(E916)&lt;&gt;""),IFERROR(INDEX('設定'!$G$12:$G$31,MATCH(TRIM(E916),'設定'!$J$12:$J$31,0)),""),""))</f>
        <v/>
      </c>
      <c r="K916" s="30">
        <f>IF(AND(ISNUMBER(F916),ISNUMBER(J916)),ROUND(F916*J916,0),IF(ISNUMBER(I916),I916,""))</f>
        <v/>
      </c>
      <c r="L916" s="33" t="n"/>
      <c r="M916" s="34">
        <f>IF(COUNTA(A916:B916,D916:I916,L916)=0,"",IF(B916="","案件番号がありません",IF(ISNA(MATCH(B916,'案件'!$A$6:$A$105,0)),"案件シートに無い番号です",IF(NOT(OR(D916="材料費",D916="労務費",D916="外注費",D916="経費")),"費目を4つから選んでください",IF(K916="",IF(AND(ISNUMBER(F916),NOT(ISNUMBER(J916))),IF(D916="労務費","単価がありません（設定の作業者名と同じ書き方に）","単価がありません"),IF(AND(ISNUMBER(J916),NOT(ISNUMBER(F916))),"数量がありません","金額がありません")),IF(NOT(ISNUMBER(A916)),"日付がありません（月別集計に入りません）",IF(AND(ISNUMBER(F916),ISNUMBER(J916),ISNUMBER(I916)),"数量×単価を使いました（金額の欄は使っていません）","")))))))</f>
        <v/>
      </c>
      <c r="N916" s="91">
        <f>IF(AND(B916&lt;&gt;"",B916='案件カード'!$C$3),COUNTIF($B$5:B916,'案件カード'!$C$3),"")</f>
        <v/>
      </c>
      <c r="O916" s="91">
        <f>IF(ISNUMBER(K916),IF(B916="",K916,IF(AND(ISNUMBER(MATCH(B916,'案件'!$A$6:$A$105,0)),OR(D916="材料費",D916="労務費",D916="外注費",D916="経費")),0,K916)),0)</f>
        <v/>
      </c>
    </row>
    <row r="917" ht="16" customHeight="1">
      <c r="A917" s="35" t="n"/>
      <c r="B917" s="36" t="n"/>
      <c r="C917" s="37">
        <f>IF(B917="","",IFERROR(INDEX('案件'!$B$6:$B$105,MATCH(B917,'案件'!$A$6:$A$105,0))&amp;"","（案件シートに無い番号）"))</f>
        <v/>
      </c>
      <c r="D917" s="36" t="n"/>
      <c r="E917" s="38" t="n"/>
      <c r="F917" s="39" t="n"/>
      <c r="G917" s="36" t="n"/>
      <c r="H917" s="40" t="n"/>
      <c r="I917" s="40" t="n"/>
      <c r="J917" s="41">
        <f>IF(ISNUMBER(H917),H917,IF(AND(D917="労務費",TRIM(E917)&lt;&gt;""),IFERROR(INDEX('設定'!$G$12:$G$31,MATCH(TRIM(E917),'設定'!$J$12:$J$31,0)),""),""))</f>
        <v/>
      </c>
      <c r="K917" s="30">
        <f>IF(AND(ISNUMBER(F917),ISNUMBER(J917)),ROUND(F917*J917,0),IF(ISNUMBER(I917),I917,""))</f>
        <v/>
      </c>
      <c r="L917" s="33" t="n"/>
      <c r="M917" s="34">
        <f>IF(COUNTA(A917:B917,D917:I917,L917)=0,"",IF(B917="","案件番号がありません",IF(ISNA(MATCH(B917,'案件'!$A$6:$A$105,0)),"案件シートに無い番号です",IF(NOT(OR(D917="材料費",D917="労務費",D917="外注費",D917="経費")),"費目を4つから選んでください",IF(K917="",IF(AND(ISNUMBER(F917),NOT(ISNUMBER(J917))),IF(D917="労務費","単価がありません（設定の作業者名と同じ書き方に）","単価がありません"),IF(AND(ISNUMBER(J917),NOT(ISNUMBER(F917))),"数量がありません","金額がありません")),IF(NOT(ISNUMBER(A917)),"日付がありません（月別集計に入りません）",IF(AND(ISNUMBER(F917),ISNUMBER(J917),ISNUMBER(I917)),"数量×単価を使いました（金額の欄は使っていません）","")))))))</f>
        <v/>
      </c>
      <c r="N917" s="91">
        <f>IF(AND(B917&lt;&gt;"",B917='案件カード'!$C$3),COUNTIF($B$5:B917,'案件カード'!$C$3),"")</f>
        <v/>
      </c>
      <c r="O917" s="91">
        <f>IF(ISNUMBER(K917),IF(B917="",K917,IF(AND(ISNUMBER(MATCH(B917,'案件'!$A$6:$A$105,0)),OR(D917="材料費",D917="労務費",D917="外注費",D917="経費")),0,K917)),0)</f>
        <v/>
      </c>
    </row>
    <row r="918" ht="16" customHeight="1">
      <c r="A918" s="35" t="n"/>
      <c r="B918" s="36" t="n"/>
      <c r="C918" s="37">
        <f>IF(B918="","",IFERROR(INDEX('案件'!$B$6:$B$105,MATCH(B918,'案件'!$A$6:$A$105,0))&amp;"","（案件シートに無い番号）"))</f>
        <v/>
      </c>
      <c r="D918" s="36" t="n"/>
      <c r="E918" s="38" t="n"/>
      <c r="F918" s="39" t="n"/>
      <c r="G918" s="36" t="n"/>
      <c r="H918" s="40" t="n"/>
      <c r="I918" s="40" t="n"/>
      <c r="J918" s="41">
        <f>IF(ISNUMBER(H918),H918,IF(AND(D918="労務費",TRIM(E918)&lt;&gt;""),IFERROR(INDEX('設定'!$G$12:$G$31,MATCH(TRIM(E918),'設定'!$J$12:$J$31,0)),""),""))</f>
        <v/>
      </c>
      <c r="K918" s="30">
        <f>IF(AND(ISNUMBER(F918),ISNUMBER(J918)),ROUND(F918*J918,0),IF(ISNUMBER(I918),I918,""))</f>
        <v/>
      </c>
      <c r="L918" s="33" t="n"/>
      <c r="M918" s="34">
        <f>IF(COUNTA(A918:B918,D918:I918,L918)=0,"",IF(B918="","案件番号がありません",IF(ISNA(MATCH(B918,'案件'!$A$6:$A$105,0)),"案件シートに無い番号です",IF(NOT(OR(D918="材料費",D918="労務費",D918="外注費",D918="経費")),"費目を4つから選んでください",IF(K918="",IF(AND(ISNUMBER(F918),NOT(ISNUMBER(J918))),IF(D918="労務費","単価がありません（設定の作業者名と同じ書き方に）","単価がありません"),IF(AND(ISNUMBER(J918),NOT(ISNUMBER(F918))),"数量がありません","金額がありません")),IF(NOT(ISNUMBER(A918)),"日付がありません（月別集計に入りません）",IF(AND(ISNUMBER(F918),ISNUMBER(J918),ISNUMBER(I918)),"数量×単価を使いました（金額の欄は使っていません）","")))))))</f>
        <v/>
      </c>
      <c r="N918" s="91">
        <f>IF(AND(B918&lt;&gt;"",B918='案件カード'!$C$3),COUNTIF($B$5:B918,'案件カード'!$C$3),"")</f>
        <v/>
      </c>
      <c r="O918" s="91">
        <f>IF(ISNUMBER(K918),IF(B918="",K918,IF(AND(ISNUMBER(MATCH(B918,'案件'!$A$6:$A$105,0)),OR(D918="材料費",D918="労務費",D918="外注費",D918="経費")),0,K918)),0)</f>
        <v/>
      </c>
    </row>
    <row r="919" ht="16" customHeight="1">
      <c r="A919" s="35" t="n"/>
      <c r="B919" s="36" t="n"/>
      <c r="C919" s="37">
        <f>IF(B919="","",IFERROR(INDEX('案件'!$B$6:$B$105,MATCH(B919,'案件'!$A$6:$A$105,0))&amp;"","（案件シートに無い番号）"))</f>
        <v/>
      </c>
      <c r="D919" s="36" t="n"/>
      <c r="E919" s="38" t="n"/>
      <c r="F919" s="39" t="n"/>
      <c r="G919" s="36" t="n"/>
      <c r="H919" s="40" t="n"/>
      <c r="I919" s="40" t="n"/>
      <c r="J919" s="41">
        <f>IF(ISNUMBER(H919),H919,IF(AND(D919="労務費",TRIM(E919)&lt;&gt;""),IFERROR(INDEX('設定'!$G$12:$G$31,MATCH(TRIM(E919),'設定'!$J$12:$J$31,0)),""),""))</f>
        <v/>
      </c>
      <c r="K919" s="30">
        <f>IF(AND(ISNUMBER(F919),ISNUMBER(J919)),ROUND(F919*J919,0),IF(ISNUMBER(I919),I919,""))</f>
        <v/>
      </c>
      <c r="L919" s="33" t="n"/>
      <c r="M919" s="34">
        <f>IF(COUNTA(A919:B919,D919:I919,L919)=0,"",IF(B919="","案件番号がありません",IF(ISNA(MATCH(B919,'案件'!$A$6:$A$105,0)),"案件シートに無い番号です",IF(NOT(OR(D919="材料費",D919="労務費",D919="外注費",D919="経費")),"費目を4つから選んでください",IF(K919="",IF(AND(ISNUMBER(F919),NOT(ISNUMBER(J919))),IF(D919="労務費","単価がありません（設定の作業者名と同じ書き方に）","単価がありません"),IF(AND(ISNUMBER(J919),NOT(ISNUMBER(F919))),"数量がありません","金額がありません")),IF(NOT(ISNUMBER(A919)),"日付がありません（月別集計に入りません）",IF(AND(ISNUMBER(F919),ISNUMBER(J919),ISNUMBER(I919)),"数量×単価を使いました（金額の欄は使っていません）","")))))))</f>
        <v/>
      </c>
      <c r="N919" s="91">
        <f>IF(AND(B919&lt;&gt;"",B919='案件カード'!$C$3),COUNTIF($B$5:B919,'案件カード'!$C$3),"")</f>
        <v/>
      </c>
      <c r="O919" s="91">
        <f>IF(ISNUMBER(K919),IF(B919="",K919,IF(AND(ISNUMBER(MATCH(B919,'案件'!$A$6:$A$105,0)),OR(D919="材料費",D919="労務費",D919="外注費",D919="経費")),0,K919)),0)</f>
        <v/>
      </c>
    </row>
    <row r="920" ht="16" customHeight="1">
      <c r="A920" s="35" t="n"/>
      <c r="B920" s="36" t="n"/>
      <c r="C920" s="37">
        <f>IF(B920="","",IFERROR(INDEX('案件'!$B$6:$B$105,MATCH(B920,'案件'!$A$6:$A$105,0))&amp;"","（案件シートに無い番号）"))</f>
        <v/>
      </c>
      <c r="D920" s="36" t="n"/>
      <c r="E920" s="38" t="n"/>
      <c r="F920" s="39" t="n"/>
      <c r="G920" s="36" t="n"/>
      <c r="H920" s="40" t="n"/>
      <c r="I920" s="40" t="n"/>
      <c r="J920" s="41">
        <f>IF(ISNUMBER(H920),H920,IF(AND(D920="労務費",TRIM(E920)&lt;&gt;""),IFERROR(INDEX('設定'!$G$12:$G$31,MATCH(TRIM(E920),'設定'!$J$12:$J$31,0)),""),""))</f>
        <v/>
      </c>
      <c r="K920" s="30">
        <f>IF(AND(ISNUMBER(F920),ISNUMBER(J920)),ROUND(F920*J920,0),IF(ISNUMBER(I920),I920,""))</f>
        <v/>
      </c>
      <c r="L920" s="33" t="n"/>
      <c r="M920" s="34">
        <f>IF(COUNTA(A920:B920,D920:I920,L920)=0,"",IF(B920="","案件番号がありません",IF(ISNA(MATCH(B920,'案件'!$A$6:$A$105,0)),"案件シートに無い番号です",IF(NOT(OR(D920="材料費",D920="労務費",D920="外注費",D920="経費")),"費目を4つから選んでください",IF(K920="",IF(AND(ISNUMBER(F920),NOT(ISNUMBER(J920))),IF(D920="労務費","単価がありません（設定の作業者名と同じ書き方に）","単価がありません"),IF(AND(ISNUMBER(J920),NOT(ISNUMBER(F920))),"数量がありません","金額がありません")),IF(NOT(ISNUMBER(A920)),"日付がありません（月別集計に入りません）",IF(AND(ISNUMBER(F920),ISNUMBER(J920),ISNUMBER(I920)),"数量×単価を使いました（金額の欄は使っていません）","")))))))</f>
        <v/>
      </c>
      <c r="N920" s="91">
        <f>IF(AND(B920&lt;&gt;"",B920='案件カード'!$C$3),COUNTIF($B$5:B920,'案件カード'!$C$3),"")</f>
        <v/>
      </c>
      <c r="O920" s="91">
        <f>IF(ISNUMBER(K920),IF(B920="",K920,IF(AND(ISNUMBER(MATCH(B920,'案件'!$A$6:$A$105,0)),OR(D920="材料費",D920="労務費",D920="外注費",D920="経費")),0,K920)),0)</f>
        <v/>
      </c>
    </row>
    <row r="921" ht="16" customHeight="1">
      <c r="A921" s="35" t="n"/>
      <c r="B921" s="36" t="n"/>
      <c r="C921" s="37">
        <f>IF(B921="","",IFERROR(INDEX('案件'!$B$6:$B$105,MATCH(B921,'案件'!$A$6:$A$105,0))&amp;"","（案件シートに無い番号）"))</f>
        <v/>
      </c>
      <c r="D921" s="36" t="n"/>
      <c r="E921" s="38" t="n"/>
      <c r="F921" s="39" t="n"/>
      <c r="G921" s="36" t="n"/>
      <c r="H921" s="40" t="n"/>
      <c r="I921" s="40" t="n"/>
      <c r="J921" s="41">
        <f>IF(ISNUMBER(H921),H921,IF(AND(D921="労務費",TRIM(E921)&lt;&gt;""),IFERROR(INDEX('設定'!$G$12:$G$31,MATCH(TRIM(E921),'設定'!$J$12:$J$31,0)),""),""))</f>
        <v/>
      </c>
      <c r="K921" s="30">
        <f>IF(AND(ISNUMBER(F921),ISNUMBER(J921)),ROUND(F921*J921,0),IF(ISNUMBER(I921),I921,""))</f>
        <v/>
      </c>
      <c r="L921" s="33" t="n"/>
      <c r="M921" s="34">
        <f>IF(COUNTA(A921:B921,D921:I921,L921)=0,"",IF(B921="","案件番号がありません",IF(ISNA(MATCH(B921,'案件'!$A$6:$A$105,0)),"案件シートに無い番号です",IF(NOT(OR(D921="材料費",D921="労務費",D921="外注費",D921="経費")),"費目を4つから選んでください",IF(K921="",IF(AND(ISNUMBER(F921),NOT(ISNUMBER(J921))),IF(D921="労務費","単価がありません（設定の作業者名と同じ書き方に）","単価がありません"),IF(AND(ISNUMBER(J921),NOT(ISNUMBER(F921))),"数量がありません","金額がありません")),IF(NOT(ISNUMBER(A921)),"日付がありません（月別集計に入りません）",IF(AND(ISNUMBER(F921),ISNUMBER(J921),ISNUMBER(I921)),"数量×単価を使いました（金額の欄は使っていません）","")))))))</f>
        <v/>
      </c>
      <c r="N921" s="91">
        <f>IF(AND(B921&lt;&gt;"",B921='案件カード'!$C$3),COUNTIF($B$5:B921,'案件カード'!$C$3),"")</f>
        <v/>
      </c>
      <c r="O921" s="91">
        <f>IF(ISNUMBER(K921),IF(B921="",K921,IF(AND(ISNUMBER(MATCH(B921,'案件'!$A$6:$A$105,0)),OR(D921="材料費",D921="労務費",D921="外注費",D921="経費")),0,K921)),0)</f>
        <v/>
      </c>
    </row>
    <row r="922" ht="16" customHeight="1">
      <c r="A922" s="35" t="n"/>
      <c r="B922" s="36" t="n"/>
      <c r="C922" s="37">
        <f>IF(B922="","",IFERROR(INDEX('案件'!$B$6:$B$105,MATCH(B922,'案件'!$A$6:$A$105,0))&amp;"","（案件シートに無い番号）"))</f>
        <v/>
      </c>
      <c r="D922" s="36" t="n"/>
      <c r="E922" s="38" t="n"/>
      <c r="F922" s="39" t="n"/>
      <c r="G922" s="36" t="n"/>
      <c r="H922" s="40" t="n"/>
      <c r="I922" s="40" t="n"/>
      <c r="J922" s="41">
        <f>IF(ISNUMBER(H922),H922,IF(AND(D922="労務費",TRIM(E922)&lt;&gt;""),IFERROR(INDEX('設定'!$G$12:$G$31,MATCH(TRIM(E922),'設定'!$J$12:$J$31,0)),""),""))</f>
        <v/>
      </c>
      <c r="K922" s="30">
        <f>IF(AND(ISNUMBER(F922),ISNUMBER(J922)),ROUND(F922*J922,0),IF(ISNUMBER(I922),I922,""))</f>
        <v/>
      </c>
      <c r="L922" s="33" t="n"/>
      <c r="M922" s="34">
        <f>IF(COUNTA(A922:B922,D922:I922,L922)=0,"",IF(B922="","案件番号がありません",IF(ISNA(MATCH(B922,'案件'!$A$6:$A$105,0)),"案件シートに無い番号です",IF(NOT(OR(D922="材料費",D922="労務費",D922="外注費",D922="経費")),"費目を4つから選んでください",IF(K922="",IF(AND(ISNUMBER(F922),NOT(ISNUMBER(J922))),IF(D922="労務費","単価がありません（設定の作業者名と同じ書き方に）","単価がありません"),IF(AND(ISNUMBER(J922),NOT(ISNUMBER(F922))),"数量がありません","金額がありません")),IF(NOT(ISNUMBER(A922)),"日付がありません（月別集計に入りません）",IF(AND(ISNUMBER(F922),ISNUMBER(J922),ISNUMBER(I922)),"数量×単価を使いました（金額の欄は使っていません）","")))))))</f>
        <v/>
      </c>
      <c r="N922" s="91">
        <f>IF(AND(B922&lt;&gt;"",B922='案件カード'!$C$3),COUNTIF($B$5:B922,'案件カード'!$C$3),"")</f>
        <v/>
      </c>
      <c r="O922" s="91">
        <f>IF(ISNUMBER(K922),IF(B922="",K922,IF(AND(ISNUMBER(MATCH(B922,'案件'!$A$6:$A$105,0)),OR(D922="材料費",D922="労務費",D922="外注費",D922="経費")),0,K922)),0)</f>
        <v/>
      </c>
    </row>
    <row r="923" ht="16" customHeight="1">
      <c r="A923" s="35" t="n"/>
      <c r="B923" s="36" t="n"/>
      <c r="C923" s="37">
        <f>IF(B923="","",IFERROR(INDEX('案件'!$B$6:$B$105,MATCH(B923,'案件'!$A$6:$A$105,0))&amp;"","（案件シートに無い番号）"))</f>
        <v/>
      </c>
      <c r="D923" s="36" t="n"/>
      <c r="E923" s="38" t="n"/>
      <c r="F923" s="39" t="n"/>
      <c r="G923" s="36" t="n"/>
      <c r="H923" s="40" t="n"/>
      <c r="I923" s="40" t="n"/>
      <c r="J923" s="41">
        <f>IF(ISNUMBER(H923),H923,IF(AND(D923="労務費",TRIM(E923)&lt;&gt;""),IFERROR(INDEX('設定'!$G$12:$G$31,MATCH(TRIM(E923),'設定'!$J$12:$J$31,0)),""),""))</f>
        <v/>
      </c>
      <c r="K923" s="30">
        <f>IF(AND(ISNUMBER(F923),ISNUMBER(J923)),ROUND(F923*J923,0),IF(ISNUMBER(I923),I923,""))</f>
        <v/>
      </c>
      <c r="L923" s="33" t="n"/>
      <c r="M923" s="34">
        <f>IF(COUNTA(A923:B923,D923:I923,L923)=0,"",IF(B923="","案件番号がありません",IF(ISNA(MATCH(B923,'案件'!$A$6:$A$105,0)),"案件シートに無い番号です",IF(NOT(OR(D923="材料費",D923="労務費",D923="外注費",D923="経費")),"費目を4つから選んでください",IF(K923="",IF(AND(ISNUMBER(F923),NOT(ISNUMBER(J923))),IF(D923="労務費","単価がありません（設定の作業者名と同じ書き方に）","単価がありません"),IF(AND(ISNUMBER(J923),NOT(ISNUMBER(F923))),"数量がありません","金額がありません")),IF(NOT(ISNUMBER(A923)),"日付がありません（月別集計に入りません）",IF(AND(ISNUMBER(F923),ISNUMBER(J923),ISNUMBER(I923)),"数量×単価を使いました（金額の欄は使っていません）","")))))))</f>
        <v/>
      </c>
      <c r="N923" s="91">
        <f>IF(AND(B923&lt;&gt;"",B923='案件カード'!$C$3),COUNTIF($B$5:B923,'案件カード'!$C$3),"")</f>
        <v/>
      </c>
      <c r="O923" s="91">
        <f>IF(ISNUMBER(K923),IF(B923="",K923,IF(AND(ISNUMBER(MATCH(B923,'案件'!$A$6:$A$105,0)),OR(D923="材料費",D923="労務費",D923="外注費",D923="経費")),0,K923)),0)</f>
        <v/>
      </c>
    </row>
    <row r="924" ht="16" customHeight="1">
      <c r="A924" s="35" t="n"/>
      <c r="B924" s="36" t="n"/>
      <c r="C924" s="37">
        <f>IF(B924="","",IFERROR(INDEX('案件'!$B$6:$B$105,MATCH(B924,'案件'!$A$6:$A$105,0))&amp;"","（案件シートに無い番号）"))</f>
        <v/>
      </c>
      <c r="D924" s="36" t="n"/>
      <c r="E924" s="38" t="n"/>
      <c r="F924" s="39" t="n"/>
      <c r="G924" s="36" t="n"/>
      <c r="H924" s="40" t="n"/>
      <c r="I924" s="40" t="n"/>
      <c r="J924" s="41">
        <f>IF(ISNUMBER(H924),H924,IF(AND(D924="労務費",TRIM(E924)&lt;&gt;""),IFERROR(INDEX('設定'!$G$12:$G$31,MATCH(TRIM(E924),'設定'!$J$12:$J$31,0)),""),""))</f>
        <v/>
      </c>
      <c r="K924" s="30">
        <f>IF(AND(ISNUMBER(F924),ISNUMBER(J924)),ROUND(F924*J924,0),IF(ISNUMBER(I924),I924,""))</f>
        <v/>
      </c>
      <c r="L924" s="33" t="n"/>
      <c r="M924" s="34">
        <f>IF(COUNTA(A924:B924,D924:I924,L924)=0,"",IF(B924="","案件番号がありません",IF(ISNA(MATCH(B924,'案件'!$A$6:$A$105,0)),"案件シートに無い番号です",IF(NOT(OR(D924="材料費",D924="労務費",D924="外注費",D924="経費")),"費目を4つから選んでください",IF(K924="",IF(AND(ISNUMBER(F924),NOT(ISNUMBER(J924))),IF(D924="労務費","単価がありません（設定の作業者名と同じ書き方に）","単価がありません"),IF(AND(ISNUMBER(J924),NOT(ISNUMBER(F924))),"数量がありません","金額がありません")),IF(NOT(ISNUMBER(A924)),"日付がありません（月別集計に入りません）",IF(AND(ISNUMBER(F924),ISNUMBER(J924),ISNUMBER(I924)),"数量×単価を使いました（金額の欄は使っていません）","")))))))</f>
        <v/>
      </c>
      <c r="N924" s="91">
        <f>IF(AND(B924&lt;&gt;"",B924='案件カード'!$C$3),COUNTIF($B$5:B924,'案件カード'!$C$3),"")</f>
        <v/>
      </c>
      <c r="O924" s="91">
        <f>IF(ISNUMBER(K924),IF(B924="",K924,IF(AND(ISNUMBER(MATCH(B924,'案件'!$A$6:$A$105,0)),OR(D924="材料費",D924="労務費",D924="外注費",D924="経費")),0,K924)),0)</f>
        <v/>
      </c>
    </row>
    <row r="925" ht="16" customHeight="1">
      <c r="A925" s="35" t="n"/>
      <c r="B925" s="36" t="n"/>
      <c r="C925" s="37">
        <f>IF(B925="","",IFERROR(INDEX('案件'!$B$6:$B$105,MATCH(B925,'案件'!$A$6:$A$105,0))&amp;"","（案件シートに無い番号）"))</f>
        <v/>
      </c>
      <c r="D925" s="36" t="n"/>
      <c r="E925" s="38" t="n"/>
      <c r="F925" s="39" t="n"/>
      <c r="G925" s="36" t="n"/>
      <c r="H925" s="40" t="n"/>
      <c r="I925" s="40" t="n"/>
      <c r="J925" s="41">
        <f>IF(ISNUMBER(H925),H925,IF(AND(D925="労務費",TRIM(E925)&lt;&gt;""),IFERROR(INDEX('設定'!$G$12:$G$31,MATCH(TRIM(E925),'設定'!$J$12:$J$31,0)),""),""))</f>
        <v/>
      </c>
      <c r="K925" s="30">
        <f>IF(AND(ISNUMBER(F925),ISNUMBER(J925)),ROUND(F925*J925,0),IF(ISNUMBER(I925),I925,""))</f>
        <v/>
      </c>
      <c r="L925" s="33" t="n"/>
      <c r="M925" s="34">
        <f>IF(COUNTA(A925:B925,D925:I925,L925)=0,"",IF(B925="","案件番号がありません",IF(ISNA(MATCH(B925,'案件'!$A$6:$A$105,0)),"案件シートに無い番号です",IF(NOT(OR(D925="材料費",D925="労務費",D925="外注費",D925="経費")),"費目を4つから選んでください",IF(K925="",IF(AND(ISNUMBER(F925),NOT(ISNUMBER(J925))),IF(D925="労務費","単価がありません（設定の作業者名と同じ書き方に）","単価がありません"),IF(AND(ISNUMBER(J925),NOT(ISNUMBER(F925))),"数量がありません","金額がありません")),IF(NOT(ISNUMBER(A925)),"日付がありません（月別集計に入りません）",IF(AND(ISNUMBER(F925),ISNUMBER(J925),ISNUMBER(I925)),"数量×単価を使いました（金額の欄は使っていません）","")))))))</f>
        <v/>
      </c>
      <c r="N925" s="91">
        <f>IF(AND(B925&lt;&gt;"",B925='案件カード'!$C$3),COUNTIF($B$5:B925,'案件カード'!$C$3),"")</f>
        <v/>
      </c>
      <c r="O925" s="91">
        <f>IF(ISNUMBER(K925),IF(B925="",K925,IF(AND(ISNUMBER(MATCH(B925,'案件'!$A$6:$A$105,0)),OR(D925="材料費",D925="労務費",D925="外注費",D925="経費")),0,K925)),0)</f>
        <v/>
      </c>
    </row>
    <row r="926" ht="16" customHeight="1">
      <c r="A926" s="35" t="n"/>
      <c r="B926" s="36" t="n"/>
      <c r="C926" s="37">
        <f>IF(B926="","",IFERROR(INDEX('案件'!$B$6:$B$105,MATCH(B926,'案件'!$A$6:$A$105,0))&amp;"","（案件シートに無い番号）"))</f>
        <v/>
      </c>
      <c r="D926" s="36" t="n"/>
      <c r="E926" s="38" t="n"/>
      <c r="F926" s="39" t="n"/>
      <c r="G926" s="36" t="n"/>
      <c r="H926" s="40" t="n"/>
      <c r="I926" s="40" t="n"/>
      <c r="J926" s="41">
        <f>IF(ISNUMBER(H926),H926,IF(AND(D926="労務費",TRIM(E926)&lt;&gt;""),IFERROR(INDEX('設定'!$G$12:$G$31,MATCH(TRIM(E926),'設定'!$J$12:$J$31,0)),""),""))</f>
        <v/>
      </c>
      <c r="K926" s="30">
        <f>IF(AND(ISNUMBER(F926),ISNUMBER(J926)),ROUND(F926*J926,0),IF(ISNUMBER(I926),I926,""))</f>
        <v/>
      </c>
      <c r="L926" s="33" t="n"/>
      <c r="M926" s="34">
        <f>IF(COUNTA(A926:B926,D926:I926,L926)=0,"",IF(B926="","案件番号がありません",IF(ISNA(MATCH(B926,'案件'!$A$6:$A$105,0)),"案件シートに無い番号です",IF(NOT(OR(D926="材料費",D926="労務費",D926="外注費",D926="経費")),"費目を4つから選んでください",IF(K926="",IF(AND(ISNUMBER(F926),NOT(ISNUMBER(J926))),IF(D926="労務費","単価がありません（設定の作業者名と同じ書き方に）","単価がありません"),IF(AND(ISNUMBER(J926),NOT(ISNUMBER(F926))),"数量がありません","金額がありません")),IF(NOT(ISNUMBER(A926)),"日付がありません（月別集計に入りません）",IF(AND(ISNUMBER(F926),ISNUMBER(J926),ISNUMBER(I926)),"数量×単価を使いました（金額の欄は使っていません）","")))))))</f>
        <v/>
      </c>
      <c r="N926" s="91">
        <f>IF(AND(B926&lt;&gt;"",B926='案件カード'!$C$3),COUNTIF($B$5:B926,'案件カード'!$C$3),"")</f>
        <v/>
      </c>
      <c r="O926" s="91">
        <f>IF(ISNUMBER(K926),IF(B926="",K926,IF(AND(ISNUMBER(MATCH(B926,'案件'!$A$6:$A$105,0)),OR(D926="材料費",D926="労務費",D926="外注費",D926="経費")),0,K926)),0)</f>
        <v/>
      </c>
    </row>
    <row r="927" ht="16" customHeight="1">
      <c r="A927" s="35" t="n"/>
      <c r="B927" s="36" t="n"/>
      <c r="C927" s="37">
        <f>IF(B927="","",IFERROR(INDEX('案件'!$B$6:$B$105,MATCH(B927,'案件'!$A$6:$A$105,0))&amp;"","（案件シートに無い番号）"))</f>
        <v/>
      </c>
      <c r="D927" s="36" t="n"/>
      <c r="E927" s="38" t="n"/>
      <c r="F927" s="39" t="n"/>
      <c r="G927" s="36" t="n"/>
      <c r="H927" s="40" t="n"/>
      <c r="I927" s="40" t="n"/>
      <c r="J927" s="41">
        <f>IF(ISNUMBER(H927),H927,IF(AND(D927="労務費",TRIM(E927)&lt;&gt;""),IFERROR(INDEX('設定'!$G$12:$G$31,MATCH(TRIM(E927),'設定'!$J$12:$J$31,0)),""),""))</f>
        <v/>
      </c>
      <c r="K927" s="30">
        <f>IF(AND(ISNUMBER(F927),ISNUMBER(J927)),ROUND(F927*J927,0),IF(ISNUMBER(I927),I927,""))</f>
        <v/>
      </c>
      <c r="L927" s="33" t="n"/>
      <c r="M927" s="34">
        <f>IF(COUNTA(A927:B927,D927:I927,L927)=0,"",IF(B927="","案件番号がありません",IF(ISNA(MATCH(B927,'案件'!$A$6:$A$105,0)),"案件シートに無い番号です",IF(NOT(OR(D927="材料費",D927="労務費",D927="外注費",D927="経費")),"費目を4つから選んでください",IF(K927="",IF(AND(ISNUMBER(F927),NOT(ISNUMBER(J927))),IF(D927="労務費","単価がありません（設定の作業者名と同じ書き方に）","単価がありません"),IF(AND(ISNUMBER(J927),NOT(ISNUMBER(F927))),"数量がありません","金額がありません")),IF(NOT(ISNUMBER(A927)),"日付がありません（月別集計に入りません）",IF(AND(ISNUMBER(F927),ISNUMBER(J927),ISNUMBER(I927)),"数量×単価を使いました（金額の欄は使っていません）","")))))))</f>
        <v/>
      </c>
      <c r="N927" s="91">
        <f>IF(AND(B927&lt;&gt;"",B927='案件カード'!$C$3),COUNTIF($B$5:B927,'案件カード'!$C$3),"")</f>
        <v/>
      </c>
      <c r="O927" s="91">
        <f>IF(ISNUMBER(K927),IF(B927="",K927,IF(AND(ISNUMBER(MATCH(B927,'案件'!$A$6:$A$105,0)),OR(D927="材料費",D927="労務費",D927="外注費",D927="経費")),0,K927)),0)</f>
        <v/>
      </c>
    </row>
    <row r="928" ht="16" customHeight="1">
      <c r="A928" s="35" t="n"/>
      <c r="B928" s="36" t="n"/>
      <c r="C928" s="37">
        <f>IF(B928="","",IFERROR(INDEX('案件'!$B$6:$B$105,MATCH(B928,'案件'!$A$6:$A$105,0))&amp;"","（案件シートに無い番号）"))</f>
        <v/>
      </c>
      <c r="D928" s="36" t="n"/>
      <c r="E928" s="38" t="n"/>
      <c r="F928" s="39" t="n"/>
      <c r="G928" s="36" t="n"/>
      <c r="H928" s="40" t="n"/>
      <c r="I928" s="40" t="n"/>
      <c r="J928" s="41">
        <f>IF(ISNUMBER(H928),H928,IF(AND(D928="労務費",TRIM(E928)&lt;&gt;""),IFERROR(INDEX('設定'!$G$12:$G$31,MATCH(TRIM(E928),'設定'!$J$12:$J$31,0)),""),""))</f>
        <v/>
      </c>
      <c r="K928" s="30">
        <f>IF(AND(ISNUMBER(F928),ISNUMBER(J928)),ROUND(F928*J928,0),IF(ISNUMBER(I928),I928,""))</f>
        <v/>
      </c>
      <c r="L928" s="33" t="n"/>
      <c r="M928" s="34">
        <f>IF(COUNTA(A928:B928,D928:I928,L928)=0,"",IF(B928="","案件番号がありません",IF(ISNA(MATCH(B928,'案件'!$A$6:$A$105,0)),"案件シートに無い番号です",IF(NOT(OR(D928="材料費",D928="労務費",D928="外注費",D928="経費")),"費目を4つから選んでください",IF(K928="",IF(AND(ISNUMBER(F928),NOT(ISNUMBER(J928))),IF(D928="労務費","単価がありません（設定の作業者名と同じ書き方に）","単価がありません"),IF(AND(ISNUMBER(J928),NOT(ISNUMBER(F928))),"数量がありません","金額がありません")),IF(NOT(ISNUMBER(A928)),"日付がありません（月別集計に入りません）",IF(AND(ISNUMBER(F928),ISNUMBER(J928),ISNUMBER(I928)),"数量×単価を使いました（金額の欄は使っていません）","")))))))</f>
        <v/>
      </c>
      <c r="N928" s="91">
        <f>IF(AND(B928&lt;&gt;"",B928='案件カード'!$C$3),COUNTIF($B$5:B928,'案件カード'!$C$3),"")</f>
        <v/>
      </c>
      <c r="O928" s="91">
        <f>IF(ISNUMBER(K928),IF(B928="",K928,IF(AND(ISNUMBER(MATCH(B928,'案件'!$A$6:$A$105,0)),OR(D928="材料費",D928="労務費",D928="外注費",D928="経費")),0,K928)),0)</f>
        <v/>
      </c>
    </row>
    <row r="929" ht="16" customHeight="1">
      <c r="A929" s="35" t="n"/>
      <c r="B929" s="36" t="n"/>
      <c r="C929" s="37">
        <f>IF(B929="","",IFERROR(INDEX('案件'!$B$6:$B$105,MATCH(B929,'案件'!$A$6:$A$105,0))&amp;"","（案件シートに無い番号）"))</f>
        <v/>
      </c>
      <c r="D929" s="36" t="n"/>
      <c r="E929" s="38" t="n"/>
      <c r="F929" s="39" t="n"/>
      <c r="G929" s="36" t="n"/>
      <c r="H929" s="40" t="n"/>
      <c r="I929" s="40" t="n"/>
      <c r="J929" s="41">
        <f>IF(ISNUMBER(H929),H929,IF(AND(D929="労務費",TRIM(E929)&lt;&gt;""),IFERROR(INDEX('設定'!$G$12:$G$31,MATCH(TRIM(E929),'設定'!$J$12:$J$31,0)),""),""))</f>
        <v/>
      </c>
      <c r="K929" s="30">
        <f>IF(AND(ISNUMBER(F929),ISNUMBER(J929)),ROUND(F929*J929,0),IF(ISNUMBER(I929),I929,""))</f>
        <v/>
      </c>
      <c r="L929" s="33" t="n"/>
      <c r="M929" s="34">
        <f>IF(COUNTA(A929:B929,D929:I929,L929)=0,"",IF(B929="","案件番号がありません",IF(ISNA(MATCH(B929,'案件'!$A$6:$A$105,0)),"案件シートに無い番号です",IF(NOT(OR(D929="材料費",D929="労務費",D929="外注費",D929="経費")),"費目を4つから選んでください",IF(K929="",IF(AND(ISNUMBER(F929),NOT(ISNUMBER(J929))),IF(D929="労務費","単価がありません（設定の作業者名と同じ書き方に）","単価がありません"),IF(AND(ISNUMBER(J929),NOT(ISNUMBER(F929))),"数量がありません","金額がありません")),IF(NOT(ISNUMBER(A929)),"日付がありません（月別集計に入りません）",IF(AND(ISNUMBER(F929),ISNUMBER(J929),ISNUMBER(I929)),"数量×単価を使いました（金額の欄は使っていません）","")))))))</f>
        <v/>
      </c>
      <c r="N929" s="91">
        <f>IF(AND(B929&lt;&gt;"",B929='案件カード'!$C$3),COUNTIF($B$5:B929,'案件カード'!$C$3),"")</f>
        <v/>
      </c>
      <c r="O929" s="91">
        <f>IF(ISNUMBER(K929),IF(B929="",K929,IF(AND(ISNUMBER(MATCH(B929,'案件'!$A$6:$A$105,0)),OR(D929="材料費",D929="労務費",D929="外注費",D929="経費")),0,K929)),0)</f>
        <v/>
      </c>
    </row>
    <row r="930" ht="16" customHeight="1">
      <c r="A930" s="35" t="n"/>
      <c r="B930" s="36" t="n"/>
      <c r="C930" s="37">
        <f>IF(B930="","",IFERROR(INDEX('案件'!$B$6:$B$105,MATCH(B930,'案件'!$A$6:$A$105,0))&amp;"","（案件シートに無い番号）"))</f>
        <v/>
      </c>
      <c r="D930" s="36" t="n"/>
      <c r="E930" s="38" t="n"/>
      <c r="F930" s="39" t="n"/>
      <c r="G930" s="36" t="n"/>
      <c r="H930" s="40" t="n"/>
      <c r="I930" s="40" t="n"/>
      <c r="J930" s="41">
        <f>IF(ISNUMBER(H930),H930,IF(AND(D930="労務費",TRIM(E930)&lt;&gt;""),IFERROR(INDEX('設定'!$G$12:$G$31,MATCH(TRIM(E930),'設定'!$J$12:$J$31,0)),""),""))</f>
        <v/>
      </c>
      <c r="K930" s="30">
        <f>IF(AND(ISNUMBER(F930),ISNUMBER(J930)),ROUND(F930*J930,0),IF(ISNUMBER(I930),I930,""))</f>
        <v/>
      </c>
      <c r="L930" s="33" t="n"/>
      <c r="M930" s="34">
        <f>IF(COUNTA(A930:B930,D930:I930,L930)=0,"",IF(B930="","案件番号がありません",IF(ISNA(MATCH(B930,'案件'!$A$6:$A$105,0)),"案件シートに無い番号です",IF(NOT(OR(D930="材料費",D930="労務費",D930="外注費",D930="経費")),"費目を4つから選んでください",IF(K930="",IF(AND(ISNUMBER(F930),NOT(ISNUMBER(J930))),IF(D930="労務費","単価がありません（設定の作業者名と同じ書き方に）","単価がありません"),IF(AND(ISNUMBER(J930),NOT(ISNUMBER(F930))),"数量がありません","金額がありません")),IF(NOT(ISNUMBER(A930)),"日付がありません（月別集計に入りません）",IF(AND(ISNUMBER(F930),ISNUMBER(J930),ISNUMBER(I930)),"数量×単価を使いました（金額の欄は使っていません）","")))))))</f>
        <v/>
      </c>
      <c r="N930" s="91">
        <f>IF(AND(B930&lt;&gt;"",B930='案件カード'!$C$3),COUNTIF($B$5:B930,'案件カード'!$C$3),"")</f>
        <v/>
      </c>
      <c r="O930" s="91">
        <f>IF(ISNUMBER(K930),IF(B930="",K930,IF(AND(ISNUMBER(MATCH(B930,'案件'!$A$6:$A$105,0)),OR(D930="材料費",D930="労務費",D930="外注費",D930="経費")),0,K930)),0)</f>
        <v/>
      </c>
    </row>
    <row r="931" ht="16" customHeight="1">
      <c r="A931" s="35" t="n"/>
      <c r="B931" s="36" t="n"/>
      <c r="C931" s="37">
        <f>IF(B931="","",IFERROR(INDEX('案件'!$B$6:$B$105,MATCH(B931,'案件'!$A$6:$A$105,0))&amp;"","（案件シートに無い番号）"))</f>
        <v/>
      </c>
      <c r="D931" s="36" t="n"/>
      <c r="E931" s="38" t="n"/>
      <c r="F931" s="39" t="n"/>
      <c r="G931" s="36" t="n"/>
      <c r="H931" s="40" t="n"/>
      <c r="I931" s="40" t="n"/>
      <c r="J931" s="41">
        <f>IF(ISNUMBER(H931),H931,IF(AND(D931="労務費",TRIM(E931)&lt;&gt;""),IFERROR(INDEX('設定'!$G$12:$G$31,MATCH(TRIM(E931),'設定'!$J$12:$J$31,0)),""),""))</f>
        <v/>
      </c>
      <c r="K931" s="30">
        <f>IF(AND(ISNUMBER(F931),ISNUMBER(J931)),ROUND(F931*J931,0),IF(ISNUMBER(I931),I931,""))</f>
        <v/>
      </c>
      <c r="L931" s="33" t="n"/>
      <c r="M931" s="34">
        <f>IF(COUNTA(A931:B931,D931:I931,L931)=0,"",IF(B931="","案件番号がありません",IF(ISNA(MATCH(B931,'案件'!$A$6:$A$105,0)),"案件シートに無い番号です",IF(NOT(OR(D931="材料費",D931="労務費",D931="外注費",D931="経費")),"費目を4つから選んでください",IF(K931="",IF(AND(ISNUMBER(F931),NOT(ISNUMBER(J931))),IF(D931="労務費","単価がありません（設定の作業者名と同じ書き方に）","単価がありません"),IF(AND(ISNUMBER(J931),NOT(ISNUMBER(F931))),"数量がありません","金額がありません")),IF(NOT(ISNUMBER(A931)),"日付がありません（月別集計に入りません）",IF(AND(ISNUMBER(F931),ISNUMBER(J931),ISNUMBER(I931)),"数量×単価を使いました（金額の欄は使っていません）","")))))))</f>
        <v/>
      </c>
      <c r="N931" s="91">
        <f>IF(AND(B931&lt;&gt;"",B931='案件カード'!$C$3),COUNTIF($B$5:B931,'案件カード'!$C$3),"")</f>
        <v/>
      </c>
      <c r="O931" s="91">
        <f>IF(ISNUMBER(K931),IF(B931="",K931,IF(AND(ISNUMBER(MATCH(B931,'案件'!$A$6:$A$105,0)),OR(D931="材料費",D931="労務費",D931="外注費",D931="経費")),0,K931)),0)</f>
        <v/>
      </c>
    </row>
    <row r="932" ht="16" customHeight="1">
      <c r="A932" s="35" t="n"/>
      <c r="B932" s="36" t="n"/>
      <c r="C932" s="37">
        <f>IF(B932="","",IFERROR(INDEX('案件'!$B$6:$B$105,MATCH(B932,'案件'!$A$6:$A$105,0))&amp;"","（案件シートに無い番号）"))</f>
        <v/>
      </c>
      <c r="D932" s="36" t="n"/>
      <c r="E932" s="38" t="n"/>
      <c r="F932" s="39" t="n"/>
      <c r="G932" s="36" t="n"/>
      <c r="H932" s="40" t="n"/>
      <c r="I932" s="40" t="n"/>
      <c r="J932" s="41">
        <f>IF(ISNUMBER(H932),H932,IF(AND(D932="労務費",TRIM(E932)&lt;&gt;""),IFERROR(INDEX('設定'!$G$12:$G$31,MATCH(TRIM(E932),'設定'!$J$12:$J$31,0)),""),""))</f>
        <v/>
      </c>
      <c r="K932" s="30">
        <f>IF(AND(ISNUMBER(F932),ISNUMBER(J932)),ROUND(F932*J932,0),IF(ISNUMBER(I932),I932,""))</f>
        <v/>
      </c>
      <c r="L932" s="33" t="n"/>
      <c r="M932" s="34">
        <f>IF(COUNTA(A932:B932,D932:I932,L932)=0,"",IF(B932="","案件番号がありません",IF(ISNA(MATCH(B932,'案件'!$A$6:$A$105,0)),"案件シートに無い番号です",IF(NOT(OR(D932="材料費",D932="労務費",D932="外注費",D932="経費")),"費目を4つから選んでください",IF(K932="",IF(AND(ISNUMBER(F932),NOT(ISNUMBER(J932))),IF(D932="労務費","単価がありません（設定の作業者名と同じ書き方に）","単価がありません"),IF(AND(ISNUMBER(J932),NOT(ISNUMBER(F932))),"数量がありません","金額がありません")),IF(NOT(ISNUMBER(A932)),"日付がありません（月別集計に入りません）",IF(AND(ISNUMBER(F932),ISNUMBER(J932),ISNUMBER(I932)),"数量×単価を使いました（金額の欄は使っていません）","")))))))</f>
        <v/>
      </c>
      <c r="N932" s="91">
        <f>IF(AND(B932&lt;&gt;"",B932='案件カード'!$C$3),COUNTIF($B$5:B932,'案件カード'!$C$3),"")</f>
        <v/>
      </c>
      <c r="O932" s="91">
        <f>IF(ISNUMBER(K932),IF(B932="",K932,IF(AND(ISNUMBER(MATCH(B932,'案件'!$A$6:$A$105,0)),OR(D932="材料費",D932="労務費",D932="外注費",D932="経費")),0,K932)),0)</f>
        <v/>
      </c>
    </row>
    <row r="933" ht="16" customHeight="1">
      <c r="A933" s="35" t="n"/>
      <c r="B933" s="36" t="n"/>
      <c r="C933" s="37">
        <f>IF(B933="","",IFERROR(INDEX('案件'!$B$6:$B$105,MATCH(B933,'案件'!$A$6:$A$105,0))&amp;"","（案件シートに無い番号）"))</f>
        <v/>
      </c>
      <c r="D933" s="36" t="n"/>
      <c r="E933" s="38" t="n"/>
      <c r="F933" s="39" t="n"/>
      <c r="G933" s="36" t="n"/>
      <c r="H933" s="40" t="n"/>
      <c r="I933" s="40" t="n"/>
      <c r="J933" s="41">
        <f>IF(ISNUMBER(H933),H933,IF(AND(D933="労務費",TRIM(E933)&lt;&gt;""),IFERROR(INDEX('設定'!$G$12:$G$31,MATCH(TRIM(E933),'設定'!$J$12:$J$31,0)),""),""))</f>
        <v/>
      </c>
      <c r="K933" s="30">
        <f>IF(AND(ISNUMBER(F933),ISNUMBER(J933)),ROUND(F933*J933,0),IF(ISNUMBER(I933),I933,""))</f>
        <v/>
      </c>
      <c r="L933" s="33" t="n"/>
      <c r="M933" s="34">
        <f>IF(COUNTA(A933:B933,D933:I933,L933)=0,"",IF(B933="","案件番号がありません",IF(ISNA(MATCH(B933,'案件'!$A$6:$A$105,0)),"案件シートに無い番号です",IF(NOT(OR(D933="材料費",D933="労務費",D933="外注費",D933="経費")),"費目を4つから選んでください",IF(K933="",IF(AND(ISNUMBER(F933),NOT(ISNUMBER(J933))),IF(D933="労務費","単価がありません（設定の作業者名と同じ書き方に）","単価がありません"),IF(AND(ISNUMBER(J933),NOT(ISNUMBER(F933))),"数量がありません","金額がありません")),IF(NOT(ISNUMBER(A933)),"日付がありません（月別集計に入りません）",IF(AND(ISNUMBER(F933),ISNUMBER(J933),ISNUMBER(I933)),"数量×単価を使いました（金額の欄は使っていません）","")))))))</f>
        <v/>
      </c>
      <c r="N933" s="91">
        <f>IF(AND(B933&lt;&gt;"",B933='案件カード'!$C$3),COUNTIF($B$5:B933,'案件カード'!$C$3),"")</f>
        <v/>
      </c>
      <c r="O933" s="91">
        <f>IF(ISNUMBER(K933),IF(B933="",K933,IF(AND(ISNUMBER(MATCH(B933,'案件'!$A$6:$A$105,0)),OR(D933="材料費",D933="労務費",D933="外注費",D933="経費")),0,K933)),0)</f>
        <v/>
      </c>
    </row>
    <row r="934" ht="16" customHeight="1">
      <c r="A934" s="35" t="n"/>
      <c r="B934" s="36" t="n"/>
      <c r="C934" s="37">
        <f>IF(B934="","",IFERROR(INDEX('案件'!$B$6:$B$105,MATCH(B934,'案件'!$A$6:$A$105,0))&amp;"","（案件シートに無い番号）"))</f>
        <v/>
      </c>
      <c r="D934" s="36" t="n"/>
      <c r="E934" s="38" t="n"/>
      <c r="F934" s="39" t="n"/>
      <c r="G934" s="36" t="n"/>
      <c r="H934" s="40" t="n"/>
      <c r="I934" s="40" t="n"/>
      <c r="J934" s="41">
        <f>IF(ISNUMBER(H934),H934,IF(AND(D934="労務費",TRIM(E934)&lt;&gt;""),IFERROR(INDEX('設定'!$G$12:$G$31,MATCH(TRIM(E934),'設定'!$J$12:$J$31,0)),""),""))</f>
        <v/>
      </c>
      <c r="K934" s="30">
        <f>IF(AND(ISNUMBER(F934),ISNUMBER(J934)),ROUND(F934*J934,0),IF(ISNUMBER(I934),I934,""))</f>
        <v/>
      </c>
      <c r="L934" s="33" t="n"/>
      <c r="M934" s="34">
        <f>IF(COUNTA(A934:B934,D934:I934,L934)=0,"",IF(B934="","案件番号がありません",IF(ISNA(MATCH(B934,'案件'!$A$6:$A$105,0)),"案件シートに無い番号です",IF(NOT(OR(D934="材料費",D934="労務費",D934="外注費",D934="経費")),"費目を4つから選んでください",IF(K934="",IF(AND(ISNUMBER(F934),NOT(ISNUMBER(J934))),IF(D934="労務費","単価がありません（設定の作業者名と同じ書き方に）","単価がありません"),IF(AND(ISNUMBER(J934),NOT(ISNUMBER(F934))),"数量がありません","金額がありません")),IF(NOT(ISNUMBER(A934)),"日付がありません（月別集計に入りません）",IF(AND(ISNUMBER(F934),ISNUMBER(J934),ISNUMBER(I934)),"数量×単価を使いました（金額の欄は使っていません）","")))))))</f>
        <v/>
      </c>
      <c r="N934" s="91">
        <f>IF(AND(B934&lt;&gt;"",B934='案件カード'!$C$3),COUNTIF($B$5:B934,'案件カード'!$C$3),"")</f>
        <v/>
      </c>
      <c r="O934" s="91">
        <f>IF(ISNUMBER(K934),IF(B934="",K934,IF(AND(ISNUMBER(MATCH(B934,'案件'!$A$6:$A$105,0)),OR(D934="材料費",D934="労務費",D934="外注費",D934="経費")),0,K934)),0)</f>
        <v/>
      </c>
    </row>
    <row r="935" ht="16" customHeight="1">
      <c r="A935" s="35" t="n"/>
      <c r="B935" s="36" t="n"/>
      <c r="C935" s="37">
        <f>IF(B935="","",IFERROR(INDEX('案件'!$B$6:$B$105,MATCH(B935,'案件'!$A$6:$A$105,0))&amp;"","（案件シートに無い番号）"))</f>
        <v/>
      </c>
      <c r="D935" s="36" t="n"/>
      <c r="E935" s="38" t="n"/>
      <c r="F935" s="39" t="n"/>
      <c r="G935" s="36" t="n"/>
      <c r="H935" s="40" t="n"/>
      <c r="I935" s="40" t="n"/>
      <c r="J935" s="41">
        <f>IF(ISNUMBER(H935),H935,IF(AND(D935="労務費",TRIM(E935)&lt;&gt;""),IFERROR(INDEX('設定'!$G$12:$G$31,MATCH(TRIM(E935),'設定'!$J$12:$J$31,0)),""),""))</f>
        <v/>
      </c>
      <c r="K935" s="30">
        <f>IF(AND(ISNUMBER(F935),ISNUMBER(J935)),ROUND(F935*J935,0),IF(ISNUMBER(I935),I935,""))</f>
        <v/>
      </c>
      <c r="L935" s="33" t="n"/>
      <c r="M935" s="34">
        <f>IF(COUNTA(A935:B935,D935:I935,L935)=0,"",IF(B935="","案件番号がありません",IF(ISNA(MATCH(B935,'案件'!$A$6:$A$105,0)),"案件シートに無い番号です",IF(NOT(OR(D935="材料費",D935="労務費",D935="外注費",D935="経費")),"費目を4つから選んでください",IF(K935="",IF(AND(ISNUMBER(F935),NOT(ISNUMBER(J935))),IF(D935="労務費","単価がありません（設定の作業者名と同じ書き方に）","単価がありません"),IF(AND(ISNUMBER(J935),NOT(ISNUMBER(F935))),"数量がありません","金額がありません")),IF(NOT(ISNUMBER(A935)),"日付がありません（月別集計に入りません）",IF(AND(ISNUMBER(F935),ISNUMBER(J935),ISNUMBER(I935)),"数量×単価を使いました（金額の欄は使っていません）","")))))))</f>
        <v/>
      </c>
      <c r="N935" s="91">
        <f>IF(AND(B935&lt;&gt;"",B935='案件カード'!$C$3),COUNTIF($B$5:B935,'案件カード'!$C$3),"")</f>
        <v/>
      </c>
      <c r="O935" s="91">
        <f>IF(ISNUMBER(K935),IF(B935="",K935,IF(AND(ISNUMBER(MATCH(B935,'案件'!$A$6:$A$105,0)),OR(D935="材料費",D935="労務費",D935="外注費",D935="経費")),0,K935)),0)</f>
        <v/>
      </c>
    </row>
    <row r="936" ht="16" customHeight="1">
      <c r="A936" s="35" t="n"/>
      <c r="B936" s="36" t="n"/>
      <c r="C936" s="37">
        <f>IF(B936="","",IFERROR(INDEX('案件'!$B$6:$B$105,MATCH(B936,'案件'!$A$6:$A$105,0))&amp;"","（案件シートに無い番号）"))</f>
        <v/>
      </c>
      <c r="D936" s="36" t="n"/>
      <c r="E936" s="38" t="n"/>
      <c r="F936" s="39" t="n"/>
      <c r="G936" s="36" t="n"/>
      <c r="H936" s="40" t="n"/>
      <c r="I936" s="40" t="n"/>
      <c r="J936" s="41">
        <f>IF(ISNUMBER(H936),H936,IF(AND(D936="労務費",TRIM(E936)&lt;&gt;""),IFERROR(INDEX('設定'!$G$12:$G$31,MATCH(TRIM(E936),'設定'!$J$12:$J$31,0)),""),""))</f>
        <v/>
      </c>
      <c r="K936" s="30">
        <f>IF(AND(ISNUMBER(F936),ISNUMBER(J936)),ROUND(F936*J936,0),IF(ISNUMBER(I936),I936,""))</f>
        <v/>
      </c>
      <c r="L936" s="33" t="n"/>
      <c r="M936" s="34">
        <f>IF(COUNTA(A936:B936,D936:I936,L936)=0,"",IF(B936="","案件番号がありません",IF(ISNA(MATCH(B936,'案件'!$A$6:$A$105,0)),"案件シートに無い番号です",IF(NOT(OR(D936="材料費",D936="労務費",D936="外注費",D936="経費")),"費目を4つから選んでください",IF(K936="",IF(AND(ISNUMBER(F936),NOT(ISNUMBER(J936))),IF(D936="労務費","単価がありません（設定の作業者名と同じ書き方に）","単価がありません"),IF(AND(ISNUMBER(J936),NOT(ISNUMBER(F936))),"数量がありません","金額がありません")),IF(NOT(ISNUMBER(A936)),"日付がありません（月別集計に入りません）",IF(AND(ISNUMBER(F936),ISNUMBER(J936),ISNUMBER(I936)),"数量×単価を使いました（金額の欄は使っていません）","")))))))</f>
        <v/>
      </c>
      <c r="N936" s="91">
        <f>IF(AND(B936&lt;&gt;"",B936='案件カード'!$C$3),COUNTIF($B$5:B936,'案件カード'!$C$3),"")</f>
        <v/>
      </c>
      <c r="O936" s="91">
        <f>IF(ISNUMBER(K936),IF(B936="",K936,IF(AND(ISNUMBER(MATCH(B936,'案件'!$A$6:$A$105,0)),OR(D936="材料費",D936="労務費",D936="外注費",D936="経費")),0,K936)),0)</f>
        <v/>
      </c>
    </row>
    <row r="937" ht="16" customHeight="1">
      <c r="A937" s="35" t="n"/>
      <c r="B937" s="36" t="n"/>
      <c r="C937" s="37">
        <f>IF(B937="","",IFERROR(INDEX('案件'!$B$6:$B$105,MATCH(B937,'案件'!$A$6:$A$105,0))&amp;"","（案件シートに無い番号）"))</f>
        <v/>
      </c>
      <c r="D937" s="36" t="n"/>
      <c r="E937" s="38" t="n"/>
      <c r="F937" s="39" t="n"/>
      <c r="G937" s="36" t="n"/>
      <c r="H937" s="40" t="n"/>
      <c r="I937" s="40" t="n"/>
      <c r="J937" s="41">
        <f>IF(ISNUMBER(H937),H937,IF(AND(D937="労務費",TRIM(E937)&lt;&gt;""),IFERROR(INDEX('設定'!$G$12:$G$31,MATCH(TRIM(E937),'設定'!$J$12:$J$31,0)),""),""))</f>
        <v/>
      </c>
      <c r="K937" s="30">
        <f>IF(AND(ISNUMBER(F937),ISNUMBER(J937)),ROUND(F937*J937,0),IF(ISNUMBER(I937),I937,""))</f>
        <v/>
      </c>
      <c r="L937" s="33" t="n"/>
      <c r="M937" s="34">
        <f>IF(COUNTA(A937:B937,D937:I937,L937)=0,"",IF(B937="","案件番号がありません",IF(ISNA(MATCH(B937,'案件'!$A$6:$A$105,0)),"案件シートに無い番号です",IF(NOT(OR(D937="材料費",D937="労務費",D937="外注費",D937="経費")),"費目を4つから選んでください",IF(K937="",IF(AND(ISNUMBER(F937),NOT(ISNUMBER(J937))),IF(D937="労務費","単価がありません（設定の作業者名と同じ書き方に）","単価がありません"),IF(AND(ISNUMBER(J937),NOT(ISNUMBER(F937))),"数量がありません","金額がありません")),IF(NOT(ISNUMBER(A937)),"日付がありません（月別集計に入りません）",IF(AND(ISNUMBER(F937),ISNUMBER(J937),ISNUMBER(I937)),"数量×単価を使いました（金額の欄は使っていません）","")))))))</f>
        <v/>
      </c>
      <c r="N937" s="91">
        <f>IF(AND(B937&lt;&gt;"",B937='案件カード'!$C$3),COUNTIF($B$5:B937,'案件カード'!$C$3),"")</f>
        <v/>
      </c>
      <c r="O937" s="91">
        <f>IF(ISNUMBER(K937),IF(B937="",K937,IF(AND(ISNUMBER(MATCH(B937,'案件'!$A$6:$A$105,0)),OR(D937="材料費",D937="労務費",D937="外注費",D937="経費")),0,K937)),0)</f>
        <v/>
      </c>
    </row>
    <row r="938" ht="16" customHeight="1">
      <c r="A938" s="35" t="n"/>
      <c r="B938" s="36" t="n"/>
      <c r="C938" s="37">
        <f>IF(B938="","",IFERROR(INDEX('案件'!$B$6:$B$105,MATCH(B938,'案件'!$A$6:$A$105,0))&amp;"","（案件シートに無い番号）"))</f>
        <v/>
      </c>
      <c r="D938" s="36" t="n"/>
      <c r="E938" s="38" t="n"/>
      <c r="F938" s="39" t="n"/>
      <c r="G938" s="36" t="n"/>
      <c r="H938" s="40" t="n"/>
      <c r="I938" s="40" t="n"/>
      <c r="J938" s="41">
        <f>IF(ISNUMBER(H938),H938,IF(AND(D938="労務費",TRIM(E938)&lt;&gt;""),IFERROR(INDEX('設定'!$G$12:$G$31,MATCH(TRIM(E938),'設定'!$J$12:$J$31,0)),""),""))</f>
        <v/>
      </c>
      <c r="K938" s="30">
        <f>IF(AND(ISNUMBER(F938),ISNUMBER(J938)),ROUND(F938*J938,0),IF(ISNUMBER(I938),I938,""))</f>
        <v/>
      </c>
      <c r="L938" s="33" t="n"/>
      <c r="M938" s="34">
        <f>IF(COUNTA(A938:B938,D938:I938,L938)=0,"",IF(B938="","案件番号がありません",IF(ISNA(MATCH(B938,'案件'!$A$6:$A$105,0)),"案件シートに無い番号です",IF(NOT(OR(D938="材料費",D938="労務費",D938="外注費",D938="経費")),"費目を4つから選んでください",IF(K938="",IF(AND(ISNUMBER(F938),NOT(ISNUMBER(J938))),IF(D938="労務費","単価がありません（設定の作業者名と同じ書き方に）","単価がありません"),IF(AND(ISNUMBER(J938),NOT(ISNUMBER(F938))),"数量がありません","金額がありません")),IF(NOT(ISNUMBER(A938)),"日付がありません（月別集計に入りません）",IF(AND(ISNUMBER(F938),ISNUMBER(J938),ISNUMBER(I938)),"数量×単価を使いました（金額の欄は使っていません）","")))))))</f>
        <v/>
      </c>
      <c r="N938" s="91">
        <f>IF(AND(B938&lt;&gt;"",B938='案件カード'!$C$3),COUNTIF($B$5:B938,'案件カード'!$C$3),"")</f>
        <v/>
      </c>
      <c r="O938" s="91">
        <f>IF(ISNUMBER(K938),IF(B938="",K938,IF(AND(ISNUMBER(MATCH(B938,'案件'!$A$6:$A$105,0)),OR(D938="材料費",D938="労務費",D938="外注費",D938="経費")),0,K938)),0)</f>
        <v/>
      </c>
    </row>
    <row r="939" ht="16" customHeight="1">
      <c r="A939" s="35" t="n"/>
      <c r="B939" s="36" t="n"/>
      <c r="C939" s="37">
        <f>IF(B939="","",IFERROR(INDEX('案件'!$B$6:$B$105,MATCH(B939,'案件'!$A$6:$A$105,0))&amp;"","（案件シートに無い番号）"))</f>
        <v/>
      </c>
      <c r="D939" s="36" t="n"/>
      <c r="E939" s="38" t="n"/>
      <c r="F939" s="39" t="n"/>
      <c r="G939" s="36" t="n"/>
      <c r="H939" s="40" t="n"/>
      <c r="I939" s="40" t="n"/>
      <c r="J939" s="41">
        <f>IF(ISNUMBER(H939),H939,IF(AND(D939="労務費",TRIM(E939)&lt;&gt;""),IFERROR(INDEX('設定'!$G$12:$G$31,MATCH(TRIM(E939),'設定'!$J$12:$J$31,0)),""),""))</f>
        <v/>
      </c>
      <c r="K939" s="30">
        <f>IF(AND(ISNUMBER(F939),ISNUMBER(J939)),ROUND(F939*J939,0),IF(ISNUMBER(I939),I939,""))</f>
        <v/>
      </c>
      <c r="L939" s="33" t="n"/>
      <c r="M939" s="34">
        <f>IF(COUNTA(A939:B939,D939:I939,L939)=0,"",IF(B939="","案件番号がありません",IF(ISNA(MATCH(B939,'案件'!$A$6:$A$105,0)),"案件シートに無い番号です",IF(NOT(OR(D939="材料費",D939="労務費",D939="外注費",D939="経費")),"費目を4つから選んでください",IF(K939="",IF(AND(ISNUMBER(F939),NOT(ISNUMBER(J939))),IF(D939="労務費","単価がありません（設定の作業者名と同じ書き方に）","単価がありません"),IF(AND(ISNUMBER(J939),NOT(ISNUMBER(F939))),"数量がありません","金額がありません")),IF(NOT(ISNUMBER(A939)),"日付がありません（月別集計に入りません）",IF(AND(ISNUMBER(F939),ISNUMBER(J939),ISNUMBER(I939)),"数量×単価を使いました（金額の欄は使っていません）","")))))))</f>
        <v/>
      </c>
      <c r="N939" s="91">
        <f>IF(AND(B939&lt;&gt;"",B939='案件カード'!$C$3),COUNTIF($B$5:B939,'案件カード'!$C$3),"")</f>
        <v/>
      </c>
      <c r="O939" s="91">
        <f>IF(ISNUMBER(K939),IF(B939="",K939,IF(AND(ISNUMBER(MATCH(B939,'案件'!$A$6:$A$105,0)),OR(D939="材料費",D939="労務費",D939="外注費",D939="経費")),0,K939)),0)</f>
        <v/>
      </c>
    </row>
    <row r="940" ht="16" customHeight="1">
      <c r="A940" s="35" t="n"/>
      <c r="B940" s="36" t="n"/>
      <c r="C940" s="37">
        <f>IF(B940="","",IFERROR(INDEX('案件'!$B$6:$B$105,MATCH(B940,'案件'!$A$6:$A$105,0))&amp;"","（案件シートに無い番号）"))</f>
        <v/>
      </c>
      <c r="D940" s="36" t="n"/>
      <c r="E940" s="38" t="n"/>
      <c r="F940" s="39" t="n"/>
      <c r="G940" s="36" t="n"/>
      <c r="H940" s="40" t="n"/>
      <c r="I940" s="40" t="n"/>
      <c r="J940" s="41">
        <f>IF(ISNUMBER(H940),H940,IF(AND(D940="労務費",TRIM(E940)&lt;&gt;""),IFERROR(INDEX('設定'!$G$12:$G$31,MATCH(TRIM(E940),'設定'!$J$12:$J$31,0)),""),""))</f>
        <v/>
      </c>
      <c r="K940" s="30">
        <f>IF(AND(ISNUMBER(F940),ISNUMBER(J940)),ROUND(F940*J940,0),IF(ISNUMBER(I940),I940,""))</f>
        <v/>
      </c>
      <c r="L940" s="33" t="n"/>
      <c r="M940" s="34">
        <f>IF(COUNTA(A940:B940,D940:I940,L940)=0,"",IF(B940="","案件番号がありません",IF(ISNA(MATCH(B940,'案件'!$A$6:$A$105,0)),"案件シートに無い番号です",IF(NOT(OR(D940="材料費",D940="労務費",D940="外注費",D940="経費")),"費目を4つから選んでください",IF(K940="",IF(AND(ISNUMBER(F940),NOT(ISNUMBER(J940))),IF(D940="労務費","単価がありません（設定の作業者名と同じ書き方に）","単価がありません"),IF(AND(ISNUMBER(J940),NOT(ISNUMBER(F940))),"数量がありません","金額がありません")),IF(NOT(ISNUMBER(A940)),"日付がありません（月別集計に入りません）",IF(AND(ISNUMBER(F940),ISNUMBER(J940),ISNUMBER(I940)),"数量×単価を使いました（金額の欄は使っていません）","")))))))</f>
        <v/>
      </c>
      <c r="N940" s="91">
        <f>IF(AND(B940&lt;&gt;"",B940='案件カード'!$C$3),COUNTIF($B$5:B940,'案件カード'!$C$3),"")</f>
        <v/>
      </c>
      <c r="O940" s="91">
        <f>IF(ISNUMBER(K940),IF(B940="",K940,IF(AND(ISNUMBER(MATCH(B940,'案件'!$A$6:$A$105,0)),OR(D940="材料費",D940="労務費",D940="外注費",D940="経費")),0,K940)),0)</f>
        <v/>
      </c>
    </row>
    <row r="941" ht="16" customHeight="1">
      <c r="A941" s="35" t="n"/>
      <c r="B941" s="36" t="n"/>
      <c r="C941" s="37">
        <f>IF(B941="","",IFERROR(INDEX('案件'!$B$6:$B$105,MATCH(B941,'案件'!$A$6:$A$105,0))&amp;"","（案件シートに無い番号）"))</f>
        <v/>
      </c>
      <c r="D941" s="36" t="n"/>
      <c r="E941" s="38" t="n"/>
      <c r="F941" s="39" t="n"/>
      <c r="G941" s="36" t="n"/>
      <c r="H941" s="40" t="n"/>
      <c r="I941" s="40" t="n"/>
      <c r="J941" s="41">
        <f>IF(ISNUMBER(H941),H941,IF(AND(D941="労務費",TRIM(E941)&lt;&gt;""),IFERROR(INDEX('設定'!$G$12:$G$31,MATCH(TRIM(E941),'設定'!$J$12:$J$31,0)),""),""))</f>
        <v/>
      </c>
      <c r="K941" s="30">
        <f>IF(AND(ISNUMBER(F941),ISNUMBER(J941)),ROUND(F941*J941,0),IF(ISNUMBER(I941),I941,""))</f>
        <v/>
      </c>
      <c r="L941" s="33" t="n"/>
      <c r="M941" s="34">
        <f>IF(COUNTA(A941:B941,D941:I941,L941)=0,"",IF(B941="","案件番号がありません",IF(ISNA(MATCH(B941,'案件'!$A$6:$A$105,0)),"案件シートに無い番号です",IF(NOT(OR(D941="材料費",D941="労務費",D941="外注費",D941="経費")),"費目を4つから選んでください",IF(K941="",IF(AND(ISNUMBER(F941),NOT(ISNUMBER(J941))),IF(D941="労務費","単価がありません（設定の作業者名と同じ書き方に）","単価がありません"),IF(AND(ISNUMBER(J941),NOT(ISNUMBER(F941))),"数量がありません","金額がありません")),IF(NOT(ISNUMBER(A941)),"日付がありません（月別集計に入りません）",IF(AND(ISNUMBER(F941),ISNUMBER(J941),ISNUMBER(I941)),"数量×単価を使いました（金額の欄は使っていません）","")))))))</f>
        <v/>
      </c>
      <c r="N941" s="91">
        <f>IF(AND(B941&lt;&gt;"",B941='案件カード'!$C$3),COUNTIF($B$5:B941,'案件カード'!$C$3),"")</f>
        <v/>
      </c>
      <c r="O941" s="91">
        <f>IF(ISNUMBER(K941),IF(B941="",K941,IF(AND(ISNUMBER(MATCH(B941,'案件'!$A$6:$A$105,0)),OR(D941="材料費",D941="労務費",D941="外注費",D941="経費")),0,K941)),0)</f>
        <v/>
      </c>
    </row>
    <row r="942" ht="16" customHeight="1">
      <c r="A942" s="35" t="n"/>
      <c r="B942" s="36" t="n"/>
      <c r="C942" s="37">
        <f>IF(B942="","",IFERROR(INDEX('案件'!$B$6:$B$105,MATCH(B942,'案件'!$A$6:$A$105,0))&amp;"","（案件シートに無い番号）"))</f>
        <v/>
      </c>
      <c r="D942" s="36" t="n"/>
      <c r="E942" s="38" t="n"/>
      <c r="F942" s="39" t="n"/>
      <c r="G942" s="36" t="n"/>
      <c r="H942" s="40" t="n"/>
      <c r="I942" s="40" t="n"/>
      <c r="J942" s="41">
        <f>IF(ISNUMBER(H942),H942,IF(AND(D942="労務費",TRIM(E942)&lt;&gt;""),IFERROR(INDEX('設定'!$G$12:$G$31,MATCH(TRIM(E942),'設定'!$J$12:$J$31,0)),""),""))</f>
        <v/>
      </c>
      <c r="K942" s="30">
        <f>IF(AND(ISNUMBER(F942),ISNUMBER(J942)),ROUND(F942*J942,0),IF(ISNUMBER(I942),I942,""))</f>
        <v/>
      </c>
      <c r="L942" s="33" t="n"/>
      <c r="M942" s="34">
        <f>IF(COUNTA(A942:B942,D942:I942,L942)=0,"",IF(B942="","案件番号がありません",IF(ISNA(MATCH(B942,'案件'!$A$6:$A$105,0)),"案件シートに無い番号です",IF(NOT(OR(D942="材料費",D942="労務費",D942="外注費",D942="経費")),"費目を4つから選んでください",IF(K942="",IF(AND(ISNUMBER(F942),NOT(ISNUMBER(J942))),IF(D942="労務費","単価がありません（設定の作業者名と同じ書き方に）","単価がありません"),IF(AND(ISNUMBER(J942),NOT(ISNUMBER(F942))),"数量がありません","金額がありません")),IF(NOT(ISNUMBER(A942)),"日付がありません（月別集計に入りません）",IF(AND(ISNUMBER(F942),ISNUMBER(J942),ISNUMBER(I942)),"数量×単価を使いました（金額の欄は使っていません）","")))))))</f>
        <v/>
      </c>
      <c r="N942" s="91">
        <f>IF(AND(B942&lt;&gt;"",B942='案件カード'!$C$3),COUNTIF($B$5:B942,'案件カード'!$C$3),"")</f>
        <v/>
      </c>
      <c r="O942" s="91">
        <f>IF(ISNUMBER(K942),IF(B942="",K942,IF(AND(ISNUMBER(MATCH(B942,'案件'!$A$6:$A$105,0)),OR(D942="材料費",D942="労務費",D942="外注費",D942="経費")),0,K942)),0)</f>
        <v/>
      </c>
    </row>
    <row r="943" ht="16" customHeight="1">
      <c r="A943" s="35" t="n"/>
      <c r="B943" s="36" t="n"/>
      <c r="C943" s="37">
        <f>IF(B943="","",IFERROR(INDEX('案件'!$B$6:$B$105,MATCH(B943,'案件'!$A$6:$A$105,0))&amp;"","（案件シートに無い番号）"))</f>
        <v/>
      </c>
      <c r="D943" s="36" t="n"/>
      <c r="E943" s="38" t="n"/>
      <c r="F943" s="39" t="n"/>
      <c r="G943" s="36" t="n"/>
      <c r="H943" s="40" t="n"/>
      <c r="I943" s="40" t="n"/>
      <c r="J943" s="41">
        <f>IF(ISNUMBER(H943),H943,IF(AND(D943="労務費",TRIM(E943)&lt;&gt;""),IFERROR(INDEX('設定'!$G$12:$G$31,MATCH(TRIM(E943),'設定'!$J$12:$J$31,0)),""),""))</f>
        <v/>
      </c>
      <c r="K943" s="30">
        <f>IF(AND(ISNUMBER(F943),ISNUMBER(J943)),ROUND(F943*J943,0),IF(ISNUMBER(I943),I943,""))</f>
        <v/>
      </c>
      <c r="L943" s="33" t="n"/>
      <c r="M943" s="34">
        <f>IF(COUNTA(A943:B943,D943:I943,L943)=0,"",IF(B943="","案件番号がありません",IF(ISNA(MATCH(B943,'案件'!$A$6:$A$105,0)),"案件シートに無い番号です",IF(NOT(OR(D943="材料費",D943="労務費",D943="外注費",D943="経費")),"費目を4つから選んでください",IF(K943="",IF(AND(ISNUMBER(F943),NOT(ISNUMBER(J943))),IF(D943="労務費","単価がありません（設定の作業者名と同じ書き方に）","単価がありません"),IF(AND(ISNUMBER(J943),NOT(ISNUMBER(F943))),"数量がありません","金額がありません")),IF(NOT(ISNUMBER(A943)),"日付がありません（月別集計に入りません）",IF(AND(ISNUMBER(F943),ISNUMBER(J943),ISNUMBER(I943)),"数量×単価を使いました（金額の欄は使っていません）","")))))))</f>
        <v/>
      </c>
      <c r="N943" s="91">
        <f>IF(AND(B943&lt;&gt;"",B943='案件カード'!$C$3),COUNTIF($B$5:B943,'案件カード'!$C$3),"")</f>
        <v/>
      </c>
      <c r="O943" s="91">
        <f>IF(ISNUMBER(K943),IF(B943="",K943,IF(AND(ISNUMBER(MATCH(B943,'案件'!$A$6:$A$105,0)),OR(D943="材料費",D943="労務費",D943="外注費",D943="経費")),0,K943)),0)</f>
        <v/>
      </c>
    </row>
    <row r="944" ht="16" customHeight="1">
      <c r="A944" s="35" t="n"/>
      <c r="B944" s="36" t="n"/>
      <c r="C944" s="37">
        <f>IF(B944="","",IFERROR(INDEX('案件'!$B$6:$B$105,MATCH(B944,'案件'!$A$6:$A$105,0))&amp;"","（案件シートに無い番号）"))</f>
        <v/>
      </c>
      <c r="D944" s="36" t="n"/>
      <c r="E944" s="38" t="n"/>
      <c r="F944" s="39" t="n"/>
      <c r="G944" s="36" t="n"/>
      <c r="H944" s="40" t="n"/>
      <c r="I944" s="40" t="n"/>
      <c r="J944" s="41">
        <f>IF(ISNUMBER(H944),H944,IF(AND(D944="労務費",TRIM(E944)&lt;&gt;""),IFERROR(INDEX('設定'!$G$12:$G$31,MATCH(TRIM(E944),'設定'!$J$12:$J$31,0)),""),""))</f>
        <v/>
      </c>
      <c r="K944" s="30">
        <f>IF(AND(ISNUMBER(F944),ISNUMBER(J944)),ROUND(F944*J944,0),IF(ISNUMBER(I944),I944,""))</f>
        <v/>
      </c>
      <c r="L944" s="33" t="n"/>
      <c r="M944" s="34">
        <f>IF(COUNTA(A944:B944,D944:I944,L944)=0,"",IF(B944="","案件番号がありません",IF(ISNA(MATCH(B944,'案件'!$A$6:$A$105,0)),"案件シートに無い番号です",IF(NOT(OR(D944="材料費",D944="労務費",D944="外注費",D944="経費")),"費目を4つから選んでください",IF(K944="",IF(AND(ISNUMBER(F944),NOT(ISNUMBER(J944))),IF(D944="労務費","単価がありません（設定の作業者名と同じ書き方に）","単価がありません"),IF(AND(ISNUMBER(J944),NOT(ISNUMBER(F944))),"数量がありません","金額がありません")),IF(NOT(ISNUMBER(A944)),"日付がありません（月別集計に入りません）",IF(AND(ISNUMBER(F944),ISNUMBER(J944),ISNUMBER(I944)),"数量×単価を使いました（金額の欄は使っていません）","")))))))</f>
        <v/>
      </c>
      <c r="N944" s="91">
        <f>IF(AND(B944&lt;&gt;"",B944='案件カード'!$C$3),COUNTIF($B$5:B944,'案件カード'!$C$3),"")</f>
        <v/>
      </c>
      <c r="O944" s="91">
        <f>IF(ISNUMBER(K944),IF(B944="",K944,IF(AND(ISNUMBER(MATCH(B944,'案件'!$A$6:$A$105,0)),OR(D944="材料費",D944="労務費",D944="外注費",D944="経費")),0,K944)),0)</f>
        <v/>
      </c>
    </row>
    <row r="945" ht="16" customHeight="1">
      <c r="A945" s="35" t="n"/>
      <c r="B945" s="36" t="n"/>
      <c r="C945" s="37">
        <f>IF(B945="","",IFERROR(INDEX('案件'!$B$6:$B$105,MATCH(B945,'案件'!$A$6:$A$105,0))&amp;"","（案件シートに無い番号）"))</f>
        <v/>
      </c>
      <c r="D945" s="36" t="n"/>
      <c r="E945" s="38" t="n"/>
      <c r="F945" s="39" t="n"/>
      <c r="G945" s="36" t="n"/>
      <c r="H945" s="40" t="n"/>
      <c r="I945" s="40" t="n"/>
      <c r="J945" s="41">
        <f>IF(ISNUMBER(H945),H945,IF(AND(D945="労務費",TRIM(E945)&lt;&gt;""),IFERROR(INDEX('設定'!$G$12:$G$31,MATCH(TRIM(E945),'設定'!$J$12:$J$31,0)),""),""))</f>
        <v/>
      </c>
      <c r="K945" s="30">
        <f>IF(AND(ISNUMBER(F945),ISNUMBER(J945)),ROUND(F945*J945,0),IF(ISNUMBER(I945),I945,""))</f>
        <v/>
      </c>
      <c r="L945" s="33" t="n"/>
      <c r="M945" s="34">
        <f>IF(COUNTA(A945:B945,D945:I945,L945)=0,"",IF(B945="","案件番号がありません",IF(ISNA(MATCH(B945,'案件'!$A$6:$A$105,0)),"案件シートに無い番号です",IF(NOT(OR(D945="材料費",D945="労務費",D945="外注費",D945="経費")),"費目を4つから選んでください",IF(K945="",IF(AND(ISNUMBER(F945),NOT(ISNUMBER(J945))),IF(D945="労務費","単価がありません（設定の作業者名と同じ書き方に）","単価がありません"),IF(AND(ISNUMBER(J945),NOT(ISNUMBER(F945))),"数量がありません","金額がありません")),IF(NOT(ISNUMBER(A945)),"日付がありません（月別集計に入りません）",IF(AND(ISNUMBER(F945),ISNUMBER(J945),ISNUMBER(I945)),"数量×単価を使いました（金額の欄は使っていません）","")))))))</f>
        <v/>
      </c>
      <c r="N945" s="91">
        <f>IF(AND(B945&lt;&gt;"",B945='案件カード'!$C$3),COUNTIF($B$5:B945,'案件カード'!$C$3),"")</f>
        <v/>
      </c>
      <c r="O945" s="91">
        <f>IF(ISNUMBER(K945),IF(B945="",K945,IF(AND(ISNUMBER(MATCH(B945,'案件'!$A$6:$A$105,0)),OR(D945="材料費",D945="労務費",D945="外注費",D945="経費")),0,K945)),0)</f>
        <v/>
      </c>
    </row>
    <row r="946" ht="16" customHeight="1">
      <c r="A946" s="35" t="n"/>
      <c r="B946" s="36" t="n"/>
      <c r="C946" s="37">
        <f>IF(B946="","",IFERROR(INDEX('案件'!$B$6:$B$105,MATCH(B946,'案件'!$A$6:$A$105,0))&amp;"","（案件シートに無い番号）"))</f>
        <v/>
      </c>
      <c r="D946" s="36" t="n"/>
      <c r="E946" s="38" t="n"/>
      <c r="F946" s="39" t="n"/>
      <c r="G946" s="36" t="n"/>
      <c r="H946" s="40" t="n"/>
      <c r="I946" s="40" t="n"/>
      <c r="J946" s="41">
        <f>IF(ISNUMBER(H946),H946,IF(AND(D946="労務費",TRIM(E946)&lt;&gt;""),IFERROR(INDEX('設定'!$G$12:$G$31,MATCH(TRIM(E946),'設定'!$J$12:$J$31,0)),""),""))</f>
        <v/>
      </c>
      <c r="K946" s="30">
        <f>IF(AND(ISNUMBER(F946),ISNUMBER(J946)),ROUND(F946*J946,0),IF(ISNUMBER(I946),I946,""))</f>
        <v/>
      </c>
      <c r="L946" s="33" t="n"/>
      <c r="M946" s="34">
        <f>IF(COUNTA(A946:B946,D946:I946,L946)=0,"",IF(B946="","案件番号がありません",IF(ISNA(MATCH(B946,'案件'!$A$6:$A$105,0)),"案件シートに無い番号です",IF(NOT(OR(D946="材料費",D946="労務費",D946="外注費",D946="経費")),"費目を4つから選んでください",IF(K946="",IF(AND(ISNUMBER(F946),NOT(ISNUMBER(J946))),IF(D946="労務費","単価がありません（設定の作業者名と同じ書き方に）","単価がありません"),IF(AND(ISNUMBER(J946),NOT(ISNUMBER(F946))),"数量がありません","金額がありません")),IF(NOT(ISNUMBER(A946)),"日付がありません（月別集計に入りません）",IF(AND(ISNUMBER(F946),ISNUMBER(J946),ISNUMBER(I946)),"数量×単価を使いました（金額の欄は使っていません）","")))))))</f>
        <v/>
      </c>
      <c r="N946" s="91">
        <f>IF(AND(B946&lt;&gt;"",B946='案件カード'!$C$3),COUNTIF($B$5:B946,'案件カード'!$C$3),"")</f>
        <v/>
      </c>
      <c r="O946" s="91">
        <f>IF(ISNUMBER(K946),IF(B946="",K946,IF(AND(ISNUMBER(MATCH(B946,'案件'!$A$6:$A$105,0)),OR(D946="材料費",D946="労務費",D946="外注費",D946="経費")),0,K946)),0)</f>
        <v/>
      </c>
    </row>
    <row r="947" ht="16" customHeight="1">
      <c r="A947" s="35" t="n"/>
      <c r="B947" s="36" t="n"/>
      <c r="C947" s="37">
        <f>IF(B947="","",IFERROR(INDEX('案件'!$B$6:$B$105,MATCH(B947,'案件'!$A$6:$A$105,0))&amp;"","（案件シートに無い番号）"))</f>
        <v/>
      </c>
      <c r="D947" s="36" t="n"/>
      <c r="E947" s="38" t="n"/>
      <c r="F947" s="39" t="n"/>
      <c r="G947" s="36" t="n"/>
      <c r="H947" s="40" t="n"/>
      <c r="I947" s="40" t="n"/>
      <c r="J947" s="41">
        <f>IF(ISNUMBER(H947),H947,IF(AND(D947="労務費",TRIM(E947)&lt;&gt;""),IFERROR(INDEX('設定'!$G$12:$G$31,MATCH(TRIM(E947),'設定'!$J$12:$J$31,0)),""),""))</f>
        <v/>
      </c>
      <c r="K947" s="30">
        <f>IF(AND(ISNUMBER(F947),ISNUMBER(J947)),ROUND(F947*J947,0),IF(ISNUMBER(I947),I947,""))</f>
        <v/>
      </c>
      <c r="L947" s="33" t="n"/>
      <c r="M947" s="34">
        <f>IF(COUNTA(A947:B947,D947:I947,L947)=0,"",IF(B947="","案件番号がありません",IF(ISNA(MATCH(B947,'案件'!$A$6:$A$105,0)),"案件シートに無い番号です",IF(NOT(OR(D947="材料費",D947="労務費",D947="外注費",D947="経費")),"費目を4つから選んでください",IF(K947="",IF(AND(ISNUMBER(F947),NOT(ISNUMBER(J947))),IF(D947="労務費","単価がありません（設定の作業者名と同じ書き方に）","単価がありません"),IF(AND(ISNUMBER(J947),NOT(ISNUMBER(F947))),"数量がありません","金額がありません")),IF(NOT(ISNUMBER(A947)),"日付がありません（月別集計に入りません）",IF(AND(ISNUMBER(F947),ISNUMBER(J947),ISNUMBER(I947)),"数量×単価を使いました（金額の欄は使っていません）","")))))))</f>
        <v/>
      </c>
      <c r="N947" s="91">
        <f>IF(AND(B947&lt;&gt;"",B947='案件カード'!$C$3),COUNTIF($B$5:B947,'案件カード'!$C$3),"")</f>
        <v/>
      </c>
      <c r="O947" s="91">
        <f>IF(ISNUMBER(K947),IF(B947="",K947,IF(AND(ISNUMBER(MATCH(B947,'案件'!$A$6:$A$105,0)),OR(D947="材料費",D947="労務費",D947="外注費",D947="経費")),0,K947)),0)</f>
        <v/>
      </c>
    </row>
    <row r="948" ht="16" customHeight="1">
      <c r="A948" s="35" t="n"/>
      <c r="B948" s="36" t="n"/>
      <c r="C948" s="37">
        <f>IF(B948="","",IFERROR(INDEX('案件'!$B$6:$B$105,MATCH(B948,'案件'!$A$6:$A$105,0))&amp;"","（案件シートに無い番号）"))</f>
        <v/>
      </c>
      <c r="D948" s="36" t="n"/>
      <c r="E948" s="38" t="n"/>
      <c r="F948" s="39" t="n"/>
      <c r="G948" s="36" t="n"/>
      <c r="H948" s="40" t="n"/>
      <c r="I948" s="40" t="n"/>
      <c r="J948" s="41">
        <f>IF(ISNUMBER(H948),H948,IF(AND(D948="労務費",TRIM(E948)&lt;&gt;""),IFERROR(INDEX('設定'!$G$12:$G$31,MATCH(TRIM(E948),'設定'!$J$12:$J$31,0)),""),""))</f>
        <v/>
      </c>
      <c r="K948" s="30">
        <f>IF(AND(ISNUMBER(F948),ISNUMBER(J948)),ROUND(F948*J948,0),IF(ISNUMBER(I948),I948,""))</f>
        <v/>
      </c>
      <c r="L948" s="33" t="n"/>
      <c r="M948" s="34">
        <f>IF(COUNTA(A948:B948,D948:I948,L948)=0,"",IF(B948="","案件番号がありません",IF(ISNA(MATCH(B948,'案件'!$A$6:$A$105,0)),"案件シートに無い番号です",IF(NOT(OR(D948="材料費",D948="労務費",D948="外注費",D948="経費")),"費目を4つから選んでください",IF(K948="",IF(AND(ISNUMBER(F948),NOT(ISNUMBER(J948))),IF(D948="労務費","単価がありません（設定の作業者名と同じ書き方に）","単価がありません"),IF(AND(ISNUMBER(J948),NOT(ISNUMBER(F948))),"数量がありません","金額がありません")),IF(NOT(ISNUMBER(A948)),"日付がありません（月別集計に入りません）",IF(AND(ISNUMBER(F948),ISNUMBER(J948),ISNUMBER(I948)),"数量×単価を使いました（金額の欄は使っていません）","")))))))</f>
        <v/>
      </c>
      <c r="N948" s="91">
        <f>IF(AND(B948&lt;&gt;"",B948='案件カード'!$C$3),COUNTIF($B$5:B948,'案件カード'!$C$3),"")</f>
        <v/>
      </c>
      <c r="O948" s="91">
        <f>IF(ISNUMBER(K948),IF(B948="",K948,IF(AND(ISNUMBER(MATCH(B948,'案件'!$A$6:$A$105,0)),OR(D948="材料費",D948="労務費",D948="外注費",D948="経費")),0,K948)),0)</f>
        <v/>
      </c>
    </row>
    <row r="949" ht="16" customHeight="1">
      <c r="A949" s="35" t="n"/>
      <c r="B949" s="36" t="n"/>
      <c r="C949" s="37">
        <f>IF(B949="","",IFERROR(INDEX('案件'!$B$6:$B$105,MATCH(B949,'案件'!$A$6:$A$105,0))&amp;"","（案件シートに無い番号）"))</f>
        <v/>
      </c>
      <c r="D949" s="36" t="n"/>
      <c r="E949" s="38" t="n"/>
      <c r="F949" s="39" t="n"/>
      <c r="G949" s="36" t="n"/>
      <c r="H949" s="40" t="n"/>
      <c r="I949" s="40" t="n"/>
      <c r="J949" s="41">
        <f>IF(ISNUMBER(H949),H949,IF(AND(D949="労務費",TRIM(E949)&lt;&gt;""),IFERROR(INDEX('設定'!$G$12:$G$31,MATCH(TRIM(E949),'設定'!$J$12:$J$31,0)),""),""))</f>
        <v/>
      </c>
      <c r="K949" s="30">
        <f>IF(AND(ISNUMBER(F949),ISNUMBER(J949)),ROUND(F949*J949,0),IF(ISNUMBER(I949),I949,""))</f>
        <v/>
      </c>
      <c r="L949" s="33" t="n"/>
      <c r="M949" s="34">
        <f>IF(COUNTA(A949:B949,D949:I949,L949)=0,"",IF(B949="","案件番号がありません",IF(ISNA(MATCH(B949,'案件'!$A$6:$A$105,0)),"案件シートに無い番号です",IF(NOT(OR(D949="材料費",D949="労務費",D949="外注費",D949="経費")),"費目を4つから選んでください",IF(K949="",IF(AND(ISNUMBER(F949),NOT(ISNUMBER(J949))),IF(D949="労務費","単価がありません（設定の作業者名と同じ書き方に）","単価がありません"),IF(AND(ISNUMBER(J949),NOT(ISNUMBER(F949))),"数量がありません","金額がありません")),IF(NOT(ISNUMBER(A949)),"日付がありません（月別集計に入りません）",IF(AND(ISNUMBER(F949),ISNUMBER(J949),ISNUMBER(I949)),"数量×単価を使いました（金額の欄は使っていません）","")))))))</f>
        <v/>
      </c>
      <c r="N949" s="91">
        <f>IF(AND(B949&lt;&gt;"",B949='案件カード'!$C$3),COUNTIF($B$5:B949,'案件カード'!$C$3),"")</f>
        <v/>
      </c>
      <c r="O949" s="91">
        <f>IF(ISNUMBER(K949),IF(B949="",K949,IF(AND(ISNUMBER(MATCH(B949,'案件'!$A$6:$A$105,0)),OR(D949="材料費",D949="労務費",D949="外注費",D949="経費")),0,K949)),0)</f>
        <v/>
      </c>
    </row>
    <row r="950" ht="16" customHeight="1">
      <c r="A950" s="35" t="n"/>
      <c r="B950" s="36" t="n"/>
      <c r="C950" s="37">
        <f>IF(B950="","",IFERROR(INDEX('案件'!$B$6:$B$105,MATCH(B950,'案件'!$A$6:$A$105,0))&amp;"","（案件シートに無い番号）"))</f>
        <v/>
      </c>
      <c r="D950" s="36" t="n"/>
      <c r="E950" s="38" t="n"/>
      <c r="F950" s="39" t="n"/>
      <c r="G950" s="36" t="n"/>
      <c r="H950" s="40" t="n"/>
      <c r="I950" s="40" t="n"/>
      <c r="J950" s="41">
        <f>IF(ISNUMBER(H950),H950,IF(AND(D950="労務費",TRIM(E950)&lt;&gt;""),IFERROR(INDEX('設定'!$G$12:$G$31,MATCH(TRIM(E950),'設定'!$J$12:$J$31,0)),""),""))</f>
        <v/>
      </c>
      <c r="K950" s="30">
        <f>IF(AND(ISNUMBER(F950),ISNUMBER(J950)),ROUND(F950*J950,0),IF(ISNUMBER(I950),I950,""))</f>
        <v/>
      </c>
      <c r="L950" s="33" t="n"/>
      <c r="M950" s="34">
        <f>IF(COUNTA(A950:B950,D950:I950,L950)=0,"",IF(B950="","案件番号がありません",IF(ISNA(MATCH(B950,'案件'!$A$6:$A$105,0)),"案件シートに無い番号です",IF(NOT(OR(D950="材料費",D950="労務費",D950="外注費",D950="経費")),"費目を4つから選んでください",IF(K950="",IF(AND(ISNUMBER(F950),NOT(ISNUMBER(J950))),IF(D950="労務費","単価がありません（設定の作業者名と同じ書き方に）","単価がありません"),IF(AND(ISNUMBER(J950),NOT(ISNUMBER(F950))),"数量がありません","金額がありません")),IF(NOT(ISNUMBER(A950)),"日付がありません（月別集計に入りません）",IF(AND(ISNUMBER(F950),ISNUMBER(J950),ISNUMBER(I950)),"数量×単価を使いました（金額の欄は使っていません）","")))))))</f>
        <v/>
      </c>
      <c r="N950" s="91">
        <f>IF(AND(B950&lt;&gt;"",B950='案件カード'!$C$3),COUNTIF($B$5:B950,'案件カード'!$C$3),"")</f>
        <v/>
      </c>
      <c r="O950" s="91">
        <f>IF(ISNUMBER(K950),IF(B950="",K950,IF(AND(ISNUMBER(MATCH(B950,'案件'!$A$6:$A$105,0)),OR(D950="材料費",D950="労務費",D950="外注費",D950="経費")),0,K950)),0)</f>
        <v/>
      </c>
    </row>
    <row r="951" ht="16" customHeight="1">
      <c r="A951" s="35" t="n"/>
      <c r="B951" s="36" t="n"/>
      <c r="C951" s="37">
        <f>IF(B951="","",IFERROR(INDEX('案件'!$B$6:$B$105,MATCH(B951,'案件'!$A$6:$A$105,0))&amp;"","（案件シートに無い番号）"))</f>
        <v/>
      </c>
      <c r="D951" s="36" t="n"/>
      <c r="E951" s="38" t="n"/>
      <c r="F951" s="39" t="n"/>
      <c r="G951" s="36" t="n"/>
      <c r="H951" s="40" t="n"/>
      <c r="I951" s="40" t="n"/>
      <c r="J951" s="41">
        <f>IF(ISNUMBER(H951),H951,IF(AND(D951="労務費",TRIM(E951)&lt;&gt;""),IFERROR(INDEX('設定'!$G$12:$G$31,MATCH(TRIM(E951),'設定'!$J$12:$J$31,0)),""),""))</f>
        <v/>
      </c>
      <c r="K951" s="30">
        <f>IF(AND(ISNUMBER(F951),ISNUMBER(J951)),ROUND(F951*J951,0),IF(ISNUMBER(I951),I951,""))</f>
        <v/>
      </c>
      <c r="L951" s="33" t="n"/>
      <c r="M951" s="34">
        <f>IF(COUNTA(A951:B951,D951:I951,L951)=0,"",IF(B951="","案件番号がありません",IF(ISNA(MATCH(B951,'案件'!$A$6:$A$105,0)),"案件シートに無い番号です",IF(NOT(OR(D951="材料費",D951="労務費",D951="外注費",D951="経費")),"費目を4つから選んでください",IF(K951="",IF(AND(ISNUMBER(F951),NOT(ISNUMBER(J951))),IF(D951="労務費","単価がありません（設定の作業者名と同じ書き方に）","単価がありません"),IF(AND(ISNUMBER(J951),NOT(ISNUMBER(F951))),"数量がありません","金額がありません")),IF(NOT(ISNUMBER(A951)),"日付がありません（月別集計に入りません）",IF(AND(ISNUMBER(F951),ISNUMBER(J951),ISNUMBER(I951)),"数量×単価を使いました（金額の欄は使っていません）","")))))))</f>
        <v/>
      </c>
      <c r="N951" s="91">
        <f>IF(AND(B951&lt;&gt;"",B951='案件カード'!$C$3),COUNTIF($B$5:B951,'案件カード'!$C$3),"")</f>
        <v/>
      </c>
      <c r="O951" s="91">
        <f>IF(ISNUMBER(K951),IF(B951="",K951,IF(AND(ISNUMBER(MATCH(B951,'案件'!$A$6:$A$105,0)),OR(D951="材料費",D951="労務費",D951="外注費",D951="経費")),0,K951)),0)</f>
        <v/>
      </c>
    </row>
    <row r="952" ht="16" customHeight="1">
      <c r="A952" s="35" t="n"/>
      <c r="B952" s="36" t="n"/>
      <c r="C952" s="37">
        <f>IF(B952="","",IFERROR(INDEX('案件'!$B$6:$B$105,MATCH(B952,'案件'!$A$6:$A$105,0))&amp;"","（案件シートに無い番号）"))</f>
        <v/>
      </c>
      <c r="D952" s="36" t="n"/>
      <c r="E952" s="38" t="n"/>
      <c r="F952" s="39" t="n"/>
      <c r="G952" s="36" t="n"/>
      <c r="H952" s="40" t="n"/>
      <c r="I952" s="40" t="n"/>
      <c r="J952" s="41">
        <f>IF(ISNUMBER(H952),H952,IF(AND(D952="労務費",TRIM(E952)&lt;&gt;""),IFERROR(INDEX('設定'!$G$12:$G$31,MATCH(TRIM(E952),'設定'!$J$12:$J$31,0)),""),""))</f>
        <v/>
      </c>
      <c r="K952" s="30">
        <f>IF(AND(ISNUMBER(F952),ISNUMBER(J952)),ROUND(F952*J952,0),IF(ISNUMBER(I952),I952,""))</f>
        <v/>
      </c>
      <c r="L952" s="33" t="n"/>
      <c r="M952" s="34">
        <f>IF(COUNTA(A952:B952,D952:I952,L952)=0,"",IF(B952="","案件番号がありません",IF(ISNA(MATCH(B952,'案件'!$A$6:$A$105,0)),"案件シートに無い番号です",IF(NOT(OR(D952="材料費",D952="労務費",D952="外注費",D952="経費")),"費目を4つから選んでください",IF(K952="",IF(AND(ISNUMBER(F952),NOT(ISNUMBER(J952))),IF(D952="労務費","単価がありません（設定の作業者名と同じ書き方に）","単価がありません"),IF(AND(ISNUMBER(J952),NOT(ISNUMBER(F952))),"数量がありません","金額がありません")),IF(NOT(ISNUMBER(A952)),"日付がありません（月別集計に入りません）",IF(AND(ISNUMBER(F952),ISNUMBER(J952),ISNUMBER(I952)),"数量×単価を使いました（金額の欄は使っていません）","")))))))</f>
        <v/>
      </c>
      <c r="N952" s="91">
        <f>IF(AND(B952&lt;&gt;"",B952='案件カード'!$C$3),COUNTIF($B$5:B952,'案件カード'!$C$3),"")</f>
        <v/>
      </c>
      <c r="O952" s="91">
        <f>IF(ISNUMBER(K952),IF(B952="",K952,IF(AND(ISNUMBER(MATCH(B952,'案件'!$A$6:$A$105,0)),OR(D952="材料費",D952="労務費",D952="外注費",D952="経費")),0,K952)),0)</f>
        <v/>
      </c>
    </row>
    <row r="953" ht="16" customHeight="1">
      <c r="A953" s="35" t="n"/>
      <c r="B953" s="36" t="n"/>
      <c r="C953" s="37">
        <f>IF(B953="","",IFERROR(INDEX('案件'!$B$6:$B$105,MATCH(B953,'案件'!$A$6:$A$105,0))&amp;"","（案件シートに無い番号）"))</f>
        <v/>
      </c>
      <c r="D953" s="36" t="n"/>
      <c r="E953" s="38" t="n"/>
      <c r="F953" s="39" t="n"/>
      <c r="G953" s="36" t="n"/>
      <c r="H953" s="40" t="n"/>
      <c r="I953" s="40" t="n"/>
      <c r="J953" s="41">
        <f>IF(ISNUMBER(H953),H953,IF(AND(D953="労務費",TRIM(E953)&lt;&gt;""),IFERROR(INDEX('設定'!$G$12:$G$31,MATCH(TRIM(E953),'設定'!$J$12:$J$31,0)),""),""))</f>
        <v/>
      </c>
      <c r="K953" s="30">
        <f>IF(AND(ISNUMBER(F953),ISNUMBER(J953)),ROUND(F953*J953,0),IF(ISNUMBER(I953),I953,""))</f>
        <v/>
      </c>
      <c r="L953" s="33" t="n"/>
      <c r="M953" s="34">
        <f>IF(COUNTA(A953:B953,D953:I953,L953)=0,"",IF(B953="","案件番号がありません",IF(ISNA(MATCH(B953,'案件'!$A$6:$A$105,0)),"案件シートに無い番号です",IF(NOT(OR(D953="材料費",D953="労務費",D953="外注費",D953="経費")),"費目を4つから選んでください",IF(K953="",IF(AND(ISNUMBER(F953),NOT(ISNUMBER(J953))),IF(D953="労務費","単価がありません（設定の作業者名と同じ書き方に）","単価がありません"),IF(AND(ISNUMBER(J953),NOT(ISNUMBER(F953))),"数量がありません","金額がありません")),IF(NOT(ISNUMBER(A953)),"日付がありません（月別集計に入りません）",IF(AND(ISNUMBER(F953),ISNUMBER(J953),ISNUMBER(I953)),"数量×単価を使いました（金額の欄は使っていません）","")))))))</f>
        <v/>
      </c>
      <c r="N953" s="91">
        <f>IF(AND(B953&lt;&gt;"",B953='案件カード'!$C$3),COUNTIF($B$5:B953,'案件カード'!$C$3),"")</f>
        <v/>
      </c>
      <c r="O953" s="91">
        <f>IF(ISNUMBER(K953),IF(B953="",K953,IF(AND(ISNUMBER(MATCH(B953,'案件'!$A$6:$A$105,0)),OR(D953="材料費",D953="労務費",D953="外注費",D953="経費")),0,K953)),0)</f>
        <v/>
      </c>
    </row>
    <row r="954" ht="16" customHeight="1">
      <c r="A954" s="35" t="n"/>
      <c r="B954" s="36" t="n"/>
      <c r="C954" s="37">
        <f>IF(B954="","",IFERROR(INDEX('案件'!$B$6:$B$105,MATCH(B954,'案件'!$A$6:$A$105,0))&amp;"","（案件シートに無い番号）"))</f>
        <v/>
      </c>
      <c r="D954" s="36" t="n"/>
      <c r="E954" s="38" t="n"/>
      <c r="F954" s="39" t="n"/>
      <c r="G954" s="36" t="n"/>
      <c r="H954" s="40" t="n"/>
      <c r="I954" s="40" t="n"/>
      <c r="J954" s="41">
        <f>IF(ISNUMBER(H954),H954,IF(AND(D954="労務費",TRIM(E954)&lt;&gt;""),IFERROR(INDEX('設定'!$G$12:$G$31,MATCH(TRIM(E954),'設定'!$J$12:$J$31,0)),""),""))</f>
        <v/>
      </c>
      <c r="K954" s="30">
        <f>IF(AND(ISNUMBER(F954),ISNUMBER(J954)),ROUND(F954*J954,0),IF(ISNUMBER(I954),I954,""))</f>
        <v/>
      </c>
      <c r="L954" s="33" t="n"/>
      <c r="M954" s="34">
        <f>IF(COUNTA(A954:B954,D954:I954,L954)=0,"",IF(B954="","案件番号がありません",IF(ISNA(MATCH(B954,'案件'!$A$6:$A$105,0)),"案件シートに無い番号です",IF(NOT(OR(D954="材料費",D954="労務費",D954="外注費",D954="経費")),"費目を4つから選んでください",IF(K954="",IF(AND(ISNUMBER(F954),NOT(ISNUMBER(J954))),IF(D954="労務費","単価がありません（設定の作業者名と同じ書き方に）","単価がありません"),IF(AND(ISNUMBER(J954),NOT(ISNUMBER(F954))),"数量がありません","金額がありません")),IF(NOT(ISNUMBER(A954)),"日付がありません（月別集計に入りません）",IF(AND(ISNUMBER(F954),ISNUMBER(J954),ISNUMBER(I954)),"数量×単価を使いました（金額の欄は使っていません）","")))))))</f>
        <v/>
      </c>
      <c r="N954" s="91">
        <f>IF(AND(B954&lt;&gt;"",B954='案件カード'!$C$3),COUNTIF($B$5:B954,'案件カード'!$C$3),"")</f>
        <v/>
      </c>
      <c r="O954" s="91">
        <f>IF(ISNUMBER(K954),IF(B954="",K954,IF(AND(ISNUMBER(MATCH(B954,'案件'!$A$6:$A$105,0)),OR(D954="材料費",D954="労務費",D954="外注費",D954="経費")),0,K954)),0)</f>
        <v/>
      </c>
    </row>
    <row r="955" ht="16" customHeight="1">
      <c r="A955" s="35" t="n"/>
      <c r="B955" s="36" t="n"/>
      <c r="C955" s="37">
        <f>IF(B955="","",IFERROR(INDEX('案件'!$B$6:$B$105,MATCH(B955,'案件'!$A$6:$A$105,0))&amp;"","（案件シートに無い番号）"))</f>
        <v/>
      </c>
      <c r="D955" s="36" t="n"/>
      <c r="E955" s="38" t="n"/>
      <c r="F955" s="39" t="n"/>
      <c r="G955" s="36" t="n"/>
      <c r="H955" s="40" t="n"/>
      <c r="I955" s="40" t="n"/>
      <c r="J955" s="41">
        <f>IF(ISNUMBER(H955),H955,IF(AND(D955="労務費",TRIM(E955)&lt;&gt;""),IFERROR(INDEX('設定'!$G$12:$G$31,MATCH(TRIM(E955),'設定'!$J$12:$J$31,0)),""),""))</f>
        <v/>
      </c>
      <c r="K955" s="30">
        <f>IF(AND(ISNUMBER(F955),ISNUMBER(J955)),ROUND(F955*J955,0),IF(ISNUMBER(I955),I955,""))</f>
        <v/>
      </c>
      <c r="L955" s="33" t="n"/>
      <c r="M955" s="34">
        <f>IF(COUNTA(A955:B955,D955:I955,L955)=0,"",IF(B955="","案件番号がありません",IF(ISNA(MATCH(B955,'案件'!$A$6:$A$105,0)),"案件シートに無い番号です",IF(NOT(OR(D955="材料費",D955="労務費",D955="外注費",D955="経費")),"費目を4つから選んでください",IF(K955="",IF(AND(ISNUMBER(F955),NOT(ISNUMBER(J955))),IF(D955="労務費","単価がありません（設定の作業者名と同じ書き方に）","単価がありません"),IF(AND(ISNUMBER(J955),NOT(ISNUMBER(F955))),"数量がありません","金額がありません")),IF(NOT(ISNUMBER(A955)),"日付がありません（月別集計に入りません）",IF(AND(ISNUMBER(F955),ISNUMBER(J955),ISNUMBER(I955)),"数量×単価を使いました（金額の欄は使っていません）","")))))))</f>
        <v/>
      </c>
      <c r="N955" s="91">
        <f>IF(AND(B955&lt;&gt;"",B955='案件カード'!$C$3),COUNTIF($B$5:B955,'案件カード'!$C$3),"")</f>
        <v/>
      </c>
      <c r="O955" s="91">
        <f>IF(ISNUMBER(K955),IF(B955="",K955,IF(AND(ISNUMBER(MATCH(B955,'案件'!$A$6:$A$105,0)),OR(D955="材料費",D955="労務費",D955="外注費",D955="経費")),0,K955)),0)</f>
        <v/>
      </c>
    </row>
    <row r="956" ht="16" customHeight="1">
      <c r="A956" s="35" t="n"/>
      <c r="B956" s="36" t="n"/>
      <c r="C956" s="37">
        <f>IF(B956="","",IFERROR(INDEX('案件'!$B$6:$B$105,MATCH(B956,'案件'!$A$6:$A$105,0))&amp;"","（案件シートに無い番号）"))</f>
        <v/>
      </c>
      <c r="D956" s="36" t="n"/>
      <c r="E956" s="38" t="n"/>
      <c r="F956" s="39" t="n"/>
      <c r="G956" s="36" t="n"/>
      <c r="H956" s="40" t="n"/>
      <c r="I956" s="40" t="n"/>
      <c r="J956" s="41">
        <f>IF(ISNUMBER(H956),H956,IF(AND(D956="労務費",TRIM(E956)&lt;&gt;""),IFERROR(INDEX('設定'!$G$12:$G$31,MATCH(TRIM(E956),'設定'!$J$12:$J$31,0)),""),""))</f>
        <v/>
      </c>
      <c r="K956" s="30">
        <f>IF(AND(ISNUMBER(F956),ISNUMBER(J956)),ROUND(F956*J956,0),IF(ISNUMBER(I956),I956,""))</f>
        <v/>
      </c>
      <c r="L956" s="33" t="n"/>
      <c r="M956" s="34">
        <f>IF(COUNTA(A956:B956,D956:I956,L956)=0,"",IF(B956="","案件番号がありません",IF(ISNA(MATCH(B956,'案件'!$A$6:$A$105,0)),"案件シートに無い番号です",IF(NOT(OR(D956="材料費",D956="労務費",D956="外注費",D956="経費")),"費目を4つから選んでください",IF(K956="",IF(AND(ISNUMBER(F956),NOT(ISNUMBER(J956))),IF(D956="労務費","単価がありません（設定の作業者名と同じ書き方に）","単価がありません"),IF(AND(ISNUMBER(J956),NOT(ISNUMBER(F956))),"数量がありません","金額がありません")),IF(NOT(ISNUMBER(A956)),"日付がありません（月別集計に入りません）",IF(AND(ISNUMBER(F956),ISNUMBER(J956),ISNUMBER(I956)),"数量×単価を使いました（金額の欄は使っていません）","")))))))</f>
        <v/>
      </c>
      <c r="N956" s="91">
        <f>IF(AND(B956&lt;&gt;"",B956='案件カード'!$C$3),COUNTIF($B$5:B956,'案件カード'!$C$3),"")</f>
        <v/>
      </c>
      <c r="O956" s="91">
        <f>IF(ISNUMBER(K956),IF(B956="",K956,IF(AND(ISNUMBER(MATCH(B956,'案件'!$A$6:$A$105,0)),OR(D956="材料費",D956="労務費",D956="外注費",D956="経費")),0,K956)),0)</f>
        <v/>
      </c>
    </row>
    <row r="957" ht="16" customHeight="1">
      <c r="A957" s="35" t="n"/>
      <c r="B957" s="36" t="n"/>
      <c r="C957" s="37">
        <f>IF(B957="","",IFERROR(INDEX('案件'!$B$6:$B$105,MATCH(B957,'案件'!$A$6:$A$105,0))&amp;"","（案件シートに無い番号）"))</f>
        <v/>
      </c>
      <c r="D957" s="36" t="n"/>
      <c r="E957" s="38" t="n"/>
      <c r="F957" s="39" t="n"/>
      <c r="G957" s="36" t="n"/>
      <c r="H957" s="40" t="n"/>
      <c r="I957" s="40" t="n"/>
      <c r="J957" s="41">
        <f>IF(ISNUMBER(H957),H957,IF(AND(D957="労務費",TRIM(E957)&lt;&gt;""),IFERROR(INDEX('設定'!$G$12:$G$31,MATCH(TRIM(E957),'設定'!$J$12:$J$31,0)),""),""))</f>
        <v/>
      </c>
      <c r="K957" s="30">
        <f>IF(AND(ISNUMBER(F957),ISNUMBER(J957)),ROUND(F957*J957,0),IF(ISNUMBER(I957),I957,""))</f>
        <v/>
      </c>
      <c r="L957" s="33" t="n"/>
      <c r="M957" s="34">
        <f>IF(COUNTA(A957:B957,D957:I957,L957)=0,"",IF(B957="","案件番号がありません",IF(ISNA(MATCH(B957,'案件'!$A$6:$A$105,0)),"案件シートに無い番号です",IF(NOT(OR(D957="材料費",D957="労務費",D957="外注費",D957="経費")),"費目を4つから選んでください",IF(K957="",IF(AND(ISNUMBER(F957),NOT(ISNUMBER(J957))),IF(D957="労務費","単価がありません（設定の作業者名と同じ書き方に）","単価がありません"),IF(AND(ISNUMBER(J957),NOT(ISNUMBER(F957))),"数量がありません","金額がありません")),IF(NOT(ISNUMBER(A957)),"日付がありません（月別集計に入りません）",IF(AND(ISNUMBER(F957),ISNUMBER(J957),ISNUMBER(I957)),"数量×単価を使いました（金額の欄は使っていません）","")))))))</f>
        <v/>
      </c>
      <c r="N957" s="91">
        <f>IF(AND(B957&lt;&gt;"",B957='案件カード'!$C$3),COUNTIF($B$5:B957,'案件カード'!$C$3),"")</f>
        <v/>
      </c>
      <c r="O957" s="91">
        <f>IF(ISNUMBER(K957),IF(B957="",K957,IF(AND(ISNUMBER(MATCH(B957,'案件'!$A$6:$A$105,0)),OR(D957="材料費",D957="労務費",D957="外注費",D957="経費")),0,K957)),0)</f>
        <v/>
      </c>
    </row>
    <row r="958" ht="16" customHeight="1">
      <c r="A958" s="35" t="n"/>
      <c r="B958" s="36" t="n"/>
      <c r="C958" s="37">
        <f>IF(B958="","",IFERROR(INDEX('案件'!$B$6:$B$105,MATCH(B958,'案件'!$A$6:$A$105,0))&amp;"","（案件シートに無い番号）"))</f>
        <v/>
      </c>
      <c r="D958" s="36" t="n"/>
      <c r="E958" s="38" t="n"/>
      <c r="F958" s="39" t="n"/>
      <c r="G958" s="36" t="n"/>
      <c r="H958" s="40" t="n"/>
      <c r="I958" s="40" t="n"/>
      <c r="J958" s="41">
        <f>IF(ISNUMBER(H958),H958,IF(AND(D958="労務費",TRIM(E958)&lt;&gt;""),IFERROR(INDEX('設定'!$G$12:$G$31,MATCH(TRIM(E958),'設定'!$J$12:$J$31,0)),""),""))</f>
        <v/>
      </c>
      <c r="K958" s="30">
        <f>IF(AND(ISNUMBER(F958),ISNUMBER(J958)),ROUND(F958*J958,0),IF(ISNUMBER(I958),I958,""))</f>
        <v/>
      </c>
      <c r="L958" s="33" t="n"/>
      <c r="M958" s="34">
        <f>IF(COUNTA(A958:B958,D958:I958,L958)=0,"",IF(B958="","案件番号がありません",IF(ISNA(MATCH(B958,'案件'!$A$6:$A$105,0)),"案件シートに無い番号です",IF(NOT(OR(D958="材料費",D958="労務費",D958="外注費",D958="経費")),"費目を4つから選んでください",IF(K958="",IF(AND(ISNUMBER(F958),NOT(ISNUMBER(J958))),IF(D958="労務費","単価がありません（設定の作業者名と同じ書き方に）","単価がありません"),IF(AND(ISNUMBER(J958),NOT(ISNUMBER(F958))),"数量がありません","金額がありません")),IF(NOT(ISNUMBER(A958)),"日付がありません（月別集計に入りません）",IF(AND(ISNUMBER(F958),ISNUMBER(J958),ISNUMBER(I958)),"数量×単価を使いました（金額の欄は使っていません）","")))))))</f>
        <v/>
      </c>
      <c r="N958" s="91">
        <f>IF(AND(B958&lt;&gt;"",B958='案件カード'!$C$3),COUNTIF($B$5:B958,'案件カード'!$C$3),"")</f>
        <v/>
      </c>
      <c r="O958" s="91">
        <f>IF(ISNUMBER(K958),IF(B958="",K958,IF(AND(ISNUMBER(MATCH(B958,'案件'!$A$6:$A$105,0)),OR(D958="材料費",D958="労務費",D958="外注費",D958="経費")),0,K958)),0)</f>
        <v/>
      </c>
    </row>
    <row r="959" ht="16" customHeight="1">
      <c r="A959" s="35" t="n"/>
      <c r="B959" s="36" t="n"/>
      <c r="C959" s="37">
        <f>IF(B959="","",IFERROR(INDEX('案件'!$B$6:$B$105,MATCH(B959,'案件'!$A$6:$A$105,0))&amp;"","（案件シートに無い番号）"))</f>
        <v/>
      </c>
      <c r="D959" s="36" t="n"/>
      <c r="E959" s="38" t="n"/>
      <c r="F959" s="39" t="n"/>
      <c r="G959" s="36" t="n"/>
      <c r="H959" s="40" t="n"/>
      <c r="I959" s="40" t="n"/>
      <c r="J959" s="41">
        <f>IF(ISNUMBER(H959),H959,IF(AND(D959="労務費",TRIM(E959)&lt;&gt;""),IFERROR(INDEX('設定'!$G$12:$G$31,MATCH(TRIM(E959),'設定'!$J$12:$J$31,0)),""),""))</f>
        <v/>
      </c>
      <c r="K959" s="30">
        <f>IF(AND(ISNUMBER(F959),ISNUMBER(J959)),ROUND(F959*J959,0),IF(ISNUMBER(I959),I959,""))</f>
        <v/>
      </c>
      <c r="L959" s="33" t="n"/>
      <c r="M959" s="34">
        <f>IF(COUNTA(A959:B959,D959:I959,L959)=0,"",IF(B959="","案件番号がありません",IF(ISNA(MATCH(B959,'案件'!$A$6:$A$105,0)),"案件シートに無い番号です",IF(NOT(OR(D959="材料費",D959="労務費",D959="外注費",D959="経費")),"費目を4つから選んでください",IF(K959="",IF(AND(ISNUMBER(F959),NOT(ISNUMBER(J959))),IF(D959="労務費","単価がありません（設定の作業者名と同じ書き方に）","単価がありません"),IF(AND(ISNUMBER(J959),NOT(ISNUMBER(F959))),"数量がありません","金額がありません")),IF(NOT(ISNUMBER(A959)),"日付がありません（月別集計に入りません）",IF(AND(ISNUMBER(F959),ISNUMBER(J959),ISNUMBER(I959)),"数量×単価を使いました（金額の欄は使っていません）","")))))))</f>
        <v/>
      </c>
      <c r="N959" s="91">
        <f>IF(AND(B959&lt;&gt;"",B959='案件カード'!$C$3),COUNTIF($B$5:B959,'案件カード'!$C$3),"")</f>
        <v/>
      </c>
      <c r="O959" s="91">
        <f>IF(ISNUMBER(K959),IF(B959="",K959,IF(AND(ISNUMBER(MATCH(B959,'案件'!$A$6:$A$105,0)),OR(D959="材料費",D959="労務費",D959="外注費",D959="経費")),0,K959)),0)</f>
        <v/>
      </c>
    </row>
    <row r="960" ht="16" customHeight="1">
      <c r="A960" s="35" t="n"/>
      <c r="B960" s="36" t="n"/>
      <c r="C960" s="37">
        <f>IF(B960="","",IFERROR(INDEX('案件'!$B$6:$B$105,MATCH(B960,'案件'!$A$6:$A$105,0))&amp;"","（案件シートに無い番号）"))</f>
        <v/>
      </c>
      <c r="D960" s="36" t="n"/>
      <c r="E960" s="38" t="n"/>
      <c r="F960" s="39" t="n"/>
      <c r="G960" s="36" t="n"/>
      <c r="H960" s="40" t="n"/>
      <c r="I960" s="40" t="n"/>
      <c r="J960" s="41">
        <f>IF(ISNUMBER(H960),H960,IF(AND(D960="労務費",TRIM(E960)&lt;&gt;""),IFERROR(INDEX('設定'!$G$12:$G$31,MATCH(TRIM(E960),'設定'!$J$12:$J$31,0)),""),""))</f>
        <v/>
      </c>
      <c r="K960" s="30">
        <f>IF(AND(ISNUMBER(F960),ISNUMBER(J960)),ROUND(F960*J960,0),IF(ISNUMBER(I960),I960,""))</f>
        <v/>
      </c>
      <c r="L960" s="33" t="n"/>
      <c r="M960" s="34">
        <f>IF(COUNTA(A960:B960,D960:I960,L960)=0,"",IF(B960="","案件番号がありません",IF(ISNA(MATCH(B960,'案件'!$A$6:$A$105,0)),"案件シートに無い番号です",IF(NOT(OR(D960="材料費",D960="労務費",D960="外注費",D960="経費")),"費目を4つから選んでください",IF(K960="",IF(AND(ISNUMBER(F960),NOT(ISNUMBER(J960))),IF(D960="労務費","単価がありません（設定の作業者名と同じ書き方に）","単価がありません"),IF(AND(ISNUMBER(J960),NOT(ISNUMBER(F960))),"数量がありません","金額がありません")),IF(NOT(ISNUMBER(A960)),"日付がありません（月別集計に入りません）",IF(AND(ISNUMBER(F960),ISNUMBER(J960),ISNUMBER(I960)),"数量×単価を使いました（金額の欄は使っていません）","")))))))</f>
        <v/>
      </c>
      <c r="N960" s="91">
        <f>IF(AND(B960&lt;&gt;"",B960='案件カード'!$C$3),COUNTIF($B$5:B960,'案件カード'!$C$3),"")</f>
        <v/>
      </c>
      <c r="O960" s="91">
        <f>IF(ISNUMBER(K960),IF(B960="",K960,IF(AND(ISNUMBER(MATCH(B960,'案件'!$A$6:$A$105,0)),OR(D960="材料費",D960="労務費",D960="外注費",D960="経費")),0,K960)),0)</f>
        <v/>
      </c>
    </row>
    <row r="961" ht="16" customHeight="1">
      <c r="A961" s="35" t="n"/>
      <c r="B961" s="36" t="n"/>
      <c r="C961" s="37">
        <f>IF(B961="","",IFERROR(INDEX('案件'!$B$6:$B$105,MATCH(B961,'案件'!$A$6:$A$105,0))&amp;"","（案件シートに無い番号）"))</f>
        <v/>
      </c>
      <c r="D961" s="36" t="n"/>
      <c r="E961" s="38" t="n"/>
      <c r="F961" s="39" t="n"/>
      <c r="G961" s="36" t="n"/>
      <c r="H961" s="40" t="n"/>
      <c r="I961" s="40" t="n"/>
      <c r="J961" s="41">
        <f>IF(ISNUMBER(H961),H961,IF(AND(D961="労務費",TRIM(E961)&lt;&gt;""),IFERROR(INDEX('設定'!$G$12:$G$31,MATCH(TRIM(E961),'設定'!$J$12:$J$31,0)),""),""))</f>
        <v/>
      </c>
      <c r="K961" s="30">
        <f>IF(AND(ISNUMBER(F961),ISNUMBER(J961)),ROUND(F961*J961,0),IF(ISNUMBER(I961),I961,""))</f>
        <v/>
      </c>
      <c r="L961" s="33" t="n"/>
      <c r="M961" s="34">
        <f>IF(COUNTA(A961:B961,D961:I961,L961)=0,"",IF(B961="","案件番号がありません",IF(ISNA(MATCH(B961,'案件'!$A$6:$A$105,0)),"案件シートに無い番号です",IF(NOT(OR(D961="材料費",D961="労務費",D961="外注費",D961="経費")),"費目を4つから選んでください",IF(K961="",IF(AND(ISNUMBER(F961),NOT(ISNUMBER(J961))),IF(D961="労務費","単価がありません（設定の作業者名と同じ書き方に）","単価がありません"),IF(AND(ISNUMBER(J961),NOT(ISNUMBER(F961))),"数量がありません","金額がありません")),IF(NOT(ISNUMBER(A961)),"日付がありません（月別集計に入りません）",IF(AND(ISNUMBER(F961),ISNUMBER(J961),ISNUMBER(I961)),"数量×単価を使いました（金額の欄は使っていません）","")))))))</f>
        <v/>
      </c>
      <c r="N961" s="91">
        <f>IF(AND(B961&lt;&gt;"",B961='案件カード'!$C$3),COUNTIF($B$5:B961,'案件カード'!$C$3),"")</f>
        <v/>
      </c>
      <c r="O961" s="91">
        <f>IF(ISNUMBER(K961),IF(B961="",K961,IF(AND(ISNUMBER(MATCH(B961,'案件'!$A$6:$A$105,0)),OR(D961="材料費",D961="労務費",D961="外注費",D961="経費")),0,K961)),0)</f>
        <v/>
      </c>
    </row>
    <row r="962" ht="16" customHeight="1">
      <c r="A962" s="35" t="n"/>
      <c r="B962" s="36" t="n"/>
      <c r="C962" s="37">
        <f>IF(B962="","",IFERROR(INDEX('案件'!$B$6:$B$105,MATCH(B962,'案件'!$A$6:$A$105,0))&amp;"","（案件シートに無い番号）"))</f>
        <v/>
      </c>
      <c r="D962" s="36" t="n"/>
      <c r="E962" s="38" t="n"/>
      <c r="F962" s="39" t="n"/>
      <c r="G962" s="36" t="n"/>
      <c r="H962" s="40" t="n"/>
      <c r="I962" s="40" t="n"/>
      <c r="J962" s="41">
        <f>IF(ISNUMBER(H962),H962,IF(AND(D962="労務費",TRIM(E962)&lt;&gt;""),IFERROR(INDEX('設定'!$G$12:$G$31,MATCH(TRIM(E962),'設定'!$J$12:$J$31,0)),""),""))</f>
        <v/>
      </c>
      <c r="K962" s="30">
        <f>IF(AND(ISNUMBER(F962),ISNUMBER(J962)),ROUND(F962*J962,0),IF(ISNUMBER(I962),I962,""))</f>
        <v/>
      </c>
      <c r="L962" s="33" t="n"/>
      <c r="M962" s="34">
        <f>IF(COUNTA(A962:B962,D962:I962,L962)=0,"",IF(B962="","案件番号がありません",IF(ISNA(MATCH(B962,'案件'!$A$6:$A$105,0)),"案件シートに無い番号です",IF(NOT(OR(D962="材料費",D962="労務費",D962="外注費",D962="経費")),"費目を4つから選んでください",IF(K962="",IF(AND(ISNUMBER(F962),NOT(ISNUMBER(J962))),IF(D962="労務費","単価がありません（設定の作業者名と同じ書き方に）","単価がありません"),IF(AND(ISNUMBER(J962),NOT(ISNUMBER(F962))),"数量がありません","金額がありません")),IF(NOT(ISNUMBER(A962)),"日付がありません（月別集計に入りません）",IF(AND(ISNUMBER(F962),ISNUMBER(J962),ISNUMBER(I962)),"数量×単価を使いました（金額の欄は使っていません）","")))))))</f>
        <v/>
      </c>
      <c r="N962" s="91">
        <f>IF(AND(B962&lt;&gt;"",B962='案件カード'!$C$3),COUNTIF($B$5:B962,'案件カード'!$C$3),"")</f>
        <v/>
      </c>
      <c r="O962" s="91">
        <f>IF(ISNUMBER(K962),IF(B962="",K962,IF(AND(ISNUMBER(MATCH(B962,'案件'!$A$6:$A$105,0)),OR(D962="材料費",D962="労務費",D962="外注費",D962="経費")),0,K962)),0)</f>
        <v/>
      </c>
    </row>
    <row r="963" ht="16" customHeight="1">
      <c r="A963" s="35" t="n"/>
      <c r="B963" s="36" t="n"/>
      <c r="C963" s="37">
        <f>IF(B963="","",IFERROR(INDEX('案件'!$B$6:$B$105,MATCH(B963,'案件'!$A$6:$A$105,0))&amp;"","（案件シートに無い番号）"))</f>
        <v/>
      </c>
      <c r="D963" s="36" t="n"/>
      <c r="E963" s="38" t="n"/>
      <c r="F963" s="39" t="n"/>
      <c r="G963" s="36" t="n"/>
      <c r="H963" s="40" t="n"/>
      <c r="I963" s="40" t="n"/>
      <c r="J963" s="41">
        <f>IF(ISNUMBER(H963),H963,IF(AND(D963="労務費",TRIM(E963)&lt;&gt;""),IFERROR(INDEX('設定'!$G$12:$G$31,MATCH(TRIM(E963),'設定'!$J$12:$J$31,0)),""),""))</f>
        <v/>
      </c>
      <c r="K963" s="30">
        <f>IF(AND(ISNUMBER(F963),ISNUMBER(J963)),ROUND(F963*J963,0),IF(ISNUMBER(I963),I963,""))</f>
        <v/>
      </c>
      <c r="L963" s="33" t="n"/>
      <c r="M963" s="34">
        <f>IF(COUNTA(A963:B963,D963:I963,L963)=0,"",IF(B963="","案件番号がありません",IF(ISNA(MATCH(B963,'案件'!$A$6:$A$105,0)),"案件シートに無い番号です",IF(NOT(OR(D963="材料費",D963="労務費",D963="外注費",D963="経費")),"費目を4つから選んでください",IF(K963="",IF(AND(ISNUMBER(F963),NOT(ISNUMBER(J963))),IF(D963="労務費","単価がありません（設定の作業者名と同じ書き方に）","単価がありません"),IF(AND(ISNUMBER(J963),NOT(ISNUMBER(F963))),"数量がありません","金額がありません")),IF(NOT(ISNUMBER(A963)),"日付がありません（月別集計に入りません）",IF(AND(ISNUMBER(F963),ISNUMBER(J963),ISNUMBER(I963)),"数量×単価を使いました（金額の欄は使っていません）","")))))))</f>
        <v/>
      </c>
      <c r="N963" s="91">
        <f>IF(AND(B963&lt;&gt;"",B963='案件カード'!$C$3),COUNTIF($B$5:B963,'案件カード'!$C$3),"")</f>
        <v/>
      </c>
      <c r="O963" s="91">
        <f>IF(ISNUMBER(K963),IF(B963="",K963,IF(AND(ISNUMBER(MATCH(B963,'案件'!$A$6:$A$105,0)),OR(D963="材料費",D963="労務費",D963="外注費",D963="経費")),0,K963)),0)</f>
        <v/>
      </c>
    </row>
    <row r="964" ht="16" customHeight="1">
      <c r="A964" s="35" t="n"/>
      <c r="B964" s="36" t="n"/>
      <c r="C964" s="37">
        <f>IF(B964="","",IFERROR(INDEX('案件'!$B$6:$B$105,MATCH(B964,'案件'!$A$6:$A$105,0))&amp;"","（案件シートに無い番号）"))</f>
        <v/>
      </c>
      <c r="D964" s="36" t="n"/>
      <c r="E964" s="38" t="n"/>
      <c r="F964" s="39" t="n"/>
      <c r="G964" s="36" t="n"/>
      <c r="H964" s="40" t="n"/>
      <c r="I964" s="40" t="n"/>
      <c r="J964" s="41">
        <f>IF(ISNUMBER(H964),H964,IF(AND(D964="労務費",TRIM(E964)&lt;&gt;""),IFERROR(INDEX('設定'!$G$12:$G$31,MATCH(TRIM(E964),'設定'!$J$12:$J$31,0)),""),""))</f>
        <v/>
      </c>
      <c r="K964" s="30">
        <f>IF(AND(ISNUMBER(F964),ISNUMBER(J964)),ROUND(F964*J964,0),IF(ISNUMBER(I964),I964,""))</f>
        <v/>
      </c>
      <c r="L964" s="33" t="n"/>
      <c r="M964" s="34">
        <f>IF(COUNTA(A964:B964,D964:I964,L964)=0,"",IF(B964="","案件番号がありません",IF(ISNA(MATCH(B964,'案件'!$A$6:$A$105,0)),"案件シートに無い番号です",IF(NOT(OR(D964="材料費",D964="労務費",D964="外注費",D964="経費")),"費目を4つから選んでください",IF(K964="",IF(AND(ISNUMBER(F964),NOT(ISNUMBER(J964))),IF(D964="労務費","単価がありません（設定の作業者名と同じ書き方に）","単価がありません"),IF(AND(ISNUMBER(J964),NOT(ISNUMBER(F964))),"数量がありません","金額がありません")),IF(NOT(ISNUMBER(A964)),"日付がありません（月別集計に入りません）",IF(AND(ISNUMBER(F964),ISNUMBER(J964),ISNUMBER(I964)),"数量×単価を使いました（金額の欄は使っていません）","")))))))</f>
        <v/>
      </c>
      <c r="N964" s="91">
        <f>IF(AND(B964&lt;&gt;"",B964='案件カード'!$C$3),COUNTIF($B$5:B964,'案件カード'!$C$3),"")</f>
        <v/>
      </c>
      <c r="O964" s="91">
        <f>IF(ISNUMBER(K964),IF(B964="",K964,IF(AND(ISNUMBER(MATCH(B964,'案件'!$A$6:$A$105,0)),OR(D964="材料費",D964="労務費",D964="外注費",D964="経費")),0,K964)),0)</f>
        <v/>
      </c>
    </row>
    <row r="965" ht="16" customHeight="1">
      <c r="A965" s="35" t="n"/>
      <c r="B965" s="36" t="n"/>
      <c r="C965" s="37">
        <f>IF(B965="","",IFERROR(INDEX('案件'!$B$6:$B$105,MATCH(B965,'案件'!$A$6:$A$105,0))&amp;"","（案件シートに無い番号）"))</f>
        <v/>
      </c>
      <c r="D965" s="36" t="n"/>
      <c r="E965" s="38" t="n"/>
      <c r="F965" s="39" t="n"/>
      <c r="G965" s="36" t="n"/>
      <c r="H965" s="40" t="n"/>
      <c r="I965" s="40" t="n"/>
      <c r="J965" s="41">
        <f>IF(ISNUMBER(H965),H965,IF(AND(D965="労務費",TRIM(E965)&lt;&gt;""),IFERROR(INDEX('設定'!$G$12:$G$31,MATCH(TRIM(E965),'設定'!$J$12:$J$31,0)),""),""))</f>
        <v/>
      </c>
      <c r="K965" s="30">
        <f>IF(AND(ISNUMBER(F965),ISNUMBER(J965)),ROUND(F965*J965,0),IF(ISNUMBER(I965),I965,""))</f>
        <v/>
      </c>
      <c r="L965" s="33" t="n"/>
      <c r="M965" s="34">
        <f>IF(COUNTA(A965:B965,D965:I965,L965)=0,"",IF(B965="","案件番号がありません",IF(ISNA(MATCH(B965,'案件'!$A$6:$A$105,0)),"案件シートに無い番号です",IF(NOT(OR(D965="材料費",D965="労務費",D965="外注費",D965="経費")),"費目を4つから選んでください",IF(K965="",IF(AND(ISNUMBER(F965),NOT(ISNUMBER(J965))),IF(D965="労務費","単価がありません（設定の作業者名と同じ書き方に）","単価がありません"),IF(AND(ISNUMBER(J965),NOT(ISNUMBER(F965))),"数量がありません","金額がありません")),IF(NOT(ISNUMBER(A965)),"日付がありません（月別集計に入りません）",IF(AND(ISNUMBER(F965),ISNUMBER(J965),ISNUMBER(I965)),"数量×単価を使いました（金額の欄は使っていません）","")))))))</f>
        <v/>
      </c>
      <c r="N965" s="91">
        <f>IF(AND(B965&lt;&gt;"",B965='案件カード'!$C$3),COUNTIF($B$5:B965,'案件カード'!$C$3),"")</f>
        <v/>
      </c>
      <c r="O965" s="91">
        <f>IF(ISNUMBER(K965),IF(B965="",K965,IF(AND(ISNUMBER(MATCH(B965,'案件'!$A$6:$A$105,0)),OR(D965="材料費",D965="労務費",D965="外注費",D965="経費")),0,K965)),0)</f>
        <v/>
      </c>
    </row>
    <row r="966" ht="16" customHeight="1">
      <c r="A966" s="35" t="n"/>
      <c r="B966" s="36" t="n"/>
      <c r="C966" s="37">
        <f>IF(B966="","",IFERROR(INDEX('案件'!$B$6:$B$105,MATCH(B966,'案件'!$A$6:$A$105,0))&amp;"","（案件シートに無い番号）"))</f>
        <v/>
      </c>
      <c r="D966" s="36" t="n"/>
      <c r="E966" s="38" t="n"/>
      <c r="F966" s="39" t="n"/>
      <c r="G966" s="36" t="n"/>
      <c r="H966" s="40" t="n"/>
      <c r="I966" s="40" t="n"/>
      <c r="J966" s="41">
        <f>IF(ISNUMBER(H966),H966,IF(AND(D966="労務費",TRIM(E966)&lt;&gt;""),IFERROR(INDEX('設定'!$G$12:$G$31,MATCH(TRIM(E966),'設定'!$J$12:$J$31,0)),""),""))</f>
        <v/>
      </c>
      <c r="K966" s="30">
        <f>IF(AND(ISNUMBER(F966),ISNUMBER(J966)),ROUND(F966*J966,0),IF(ISNUMBER(I966),I966,""))</f>
        <v/>
      </c>
      <c r="L966" s="33" t="n"/>
      <c r="M966" s="34">
        <f>IF(COUNTA(A966:B966,D966:I966,L966)=0,"",IF(B966="","案件番号がありません",IF(ISNA(MATCH(B966,'案件'!$A$6:$A$105,0)),"案件シートに無い番号です",IF(NOT(OR(D966="材料費",D966="労務費",D966="外注費",D966="経費")),"費目を4つから選んでください",IF(K966="",IF(AND(ISNUMBER(F966),NOT(ISNUMBER(J966))),IF(D966="労務費","単価がありません（設定の作業者名と同じ書き方に）","単価がありません"),IF(AND(ISNUMBER(J966),NOT(ISNUMBER(F966))),"数量がありません","金額がありません")),IF(NOT(ISNUMBER(A966)),"日付がありません（月別集計に入りません）",IF(AND(ISNUMBER(F966),ISNUMBER(J966),ISNUMBER(I966)),"数量×単価を使いました（金額の欄は使っていません）","")))))))</f>
        <v/>
      </c>
      <c r="N966" s="91">
        <f>IF(AND(B966&lt;&gt;"",B966='案件カード'!$C$3),COUNTIF($B$5:B966,'案件カード'!$C$3),"")</f>
        <v/>
      </c>
      <c r="O966" s="91">
        <f>IF(ISNUMBER(K966),IF(B966="",K966,IF(AND(ISNUMBER(MATCH(B966,'案件'!$A$6:$A$105,0)),OR(D966="材料費",D966="労務費",D966="外注費",D966="経費")),0,K966)),0)</f>
        <v/>
      </c>
    </row>
    <row r="967" ht="16" customHeight="1">
      <c r="A967" s="35" t="n"/>
      <c r="B967" s="36" t="n"/>
      <c r="C967" s="37">
        <f>IF(B967="","",IFERROR(INDEX('案件'!$B$6:$B$105,MATCH(B967,'案件'!$A$6:$A$105,0))&amp;"","（案件シートに無い番号）"))</f>
        <v/>
      </c>
      <c r="D967" s="36" t="n"/>
      <c r="E967" s="38" t="n"/>
      <c r="F967" s="39" t="n"/>
      <c r="G967" s="36" t="n"/>
      <c r="H967" s="40" t="n"/>
      <c r="I967" s="40" t="n"/>
      <c r="J967" s="41">
        <f>IF(ISNUMBER(H967),H967,IF(AND(D967="労務費",TRIM(E967)&lt;&gt;""),IFERROR(INDEX('設定'!$G$12:$G$31,MATCH(TRIM(E967),'設定'!$J$12:$J$31,0)),""),""))</f>
        <v/>
      </c>
      <c r="K967" s="30">
        <f>IF(AND(ISNUMBER(F967),ISNUMBER(J967)),ROUND(F967*J967,0),IF(ISNUMBER(I967),I967,""))</f>
        <v/>
      </c>
      <c r="L967" s="33" t="n"/>
      <c r="M967" s="34">
        <f>IF(COUNTA(A967:B967,D967:I967,L967)=0,"",IF(B967="","案件番号がありません",IF(ISNA(MATCH(B967,'案件'!$A$6:$A$105,0)),"案件シートに無い番号です",IF(NOT(OR(D967="材料費",D967="労務費",D967="外注費",D967="経費")),"費目を4つから選んでください",IF(K967="",IF(AND(ISNUMBER(F967),NOT(ISNUMBER(J967))),IF(D967="労務費","単価がありません（設定の作業者名と同じ書き方に）","単価がありません"),IF(AND(ISNUMBER(J967),NOT(ISNUMBER(F967))),"数量がありません","金額がありません")),IF(NOT(ISNUMBER(A967)),"日付がありません（月別集計に入りません）",IF(AND(ISNUMBER(F967),ISNUMBER(J967),ISNUMBER(I967)),"数量×単価を使いました（金額の欄は使っていません）","")))))))</f>
        <v/>
      </c>
      <c r="N967" s="91">
        <f>IF(AND(B967&lt;&gt;"",B967='案件カード'!$C$3),COUNTIF($B$5:B967,'案件カード'!$C$3),"")</f>
        <v/>
      </c>
      <c r="O967" s="91">
        <f>IF(ISNUMBER(K967),IF(B967="",K967,IF(AND(ISNUMBER(MATCH(B967,'案件'!$A$6:$A$105,0)),OR(D967="材料費",D967="労務費",D967="外注費",D967="経費")),0,K967)),0)</f>
        <v/>
      </c>
    </row>
    <row r="968" ht="16" customHeight="1">
      <c r="A968" s="35" t="n"/>
      <c r="B968" s="36" t="n"/>
      <c r="C968" s="37">
        <f>IF(B968="","",IFERROR(INDEX('案件'!$B$6:$B$105,MATCH(B968,'案件'!$A$6:$A$105,0))&amp;"","（案件シートに無い番号）"))</f>
        <v/>
      </c>
      <c r="D968" s="36" t="n"/>
      <c r="E968" s="38" t="n"/>
      <c r="F968" s="39" t="n"/>
      <c r="G968" s="36" t="n"/>
      <c r="H968" s="40" t="n"/>
      <c r="I968" s="40" t="n"/>
      <c r="J968" s="41">
        <f>IF(ISNUMBER(H968),H968,IF(AND(D968="労務費",TRIM(E968)&lt;&gt;""),IFERROR(INDEX('設定'!$G$12:$G$31,MATCH(TRIM(E968),'設定'!$J$12:$J$31,0)),""),""))</f>
        <v/>
      </c>
      <c r="K968" s="30">
        <f>IF(AND(ISNUMBER(F968),ISNUMBER(J968)),ROUND(F968*J968,0),IF(ISNUMBER(I968),I968,""))</f>
        <v/>
      </c>
      <c r="L968" s="33" t="n"/>
      <c r="M968" s="34">
        <f>IF(COUNTA(A968:B968,D968:I968,L968)=0,"",IF(B968="","案件番号がありません",IF(ISNA(MATCH(B968,'案件'!$A$6:$A$105,0)),"案件シートに無い番号です",IF(NOT(OR(D968="材料費",D968="労務費",D968="外注費",D968="経費")),"費目を4つから選んでください",IF(K968="",IF(AND(ISNUMBER(F968),NOT(ISNUMBER(J968))),IF(D968="労務費","単価がありません（設定の作業者名と同じ書き方に）","単価がありません"),IF(AND(ISNUMBER(J968),NOT(ISNUMBER(F968))),"数量がありません","金額がありません")),IF(NOT(ISNUMBER(A968)),"日付がありません（月別集計に入りません）",IF(AND(ISNUMBER(F968),ISNUMBER(J968),ISNUMBER(I968)),"数量×単価を使いました（金額の欄は使っていません）","")))))))</f>
        <v/>
      </c>
      <c r="N968" s="91">
        <f>IF(AND(B968&lt;&gt;"",B968='案件カード'!$C$3),COUNTIF($B$5:B968,'案件カード'!$C$3),"")</f>
        <v/>
      </c>
      <c r="O968" s="91">
        <f>IF(ISNUMBER(K968),IF(B968="",K968,IF(AND(ISNUMBER(MATCH(B968,'案件'!$A$6:$A$105,0)),OR(D968="材料費",D968="労務費",D968="外注費",D968="経費")),0,K968)),0)</f>
        <v/>
      </c>
    </row>
    <row r="969" ht="16" customHeight="1">
      <c r="A969" s="35" t="n"/>
      <c r="B969" s="36" t="n"/>
      <c r="C969" s="37">
        <f>IF(B969="","",IFERROR(INDEX('案件'!$B$6:$B$105,MATCH(B969,'案件'!$A$6:$A$105,0))&amp;"","（案件シートに無い番号）"))</f>
        <v/>
      </c>
      <c r="D969" s="36" t="n"/>
      <c r="E969" s="38" t="n"/>
      <c r="F969" s="39" t="n"/>
      <c r="G969" s="36" t="n"/>
      <c r="H969" s="40" t="n"/>
      <c r="I969" s="40" t="n"/>
      <c r="J969" s="41">
        <f>IF(ISNUMBER(H969),H969,IF(AND(D969="労務費",TRIM(E969)&lt;&gt;""),IFERROR(INDEX('設定'!$G$12:$G$31,MATCH(TRIM(E969),'設定'!$J$12:$J$31,0)),""),""))</f>
        <v/>
      </c>
      <c r="K969" s="30">
        <f>IF(AND(ISNUMBER(F969),ISNUMBER(J969)),ROUND(F969*J969,0),IF(ISNUMBER(I969),I969,""))</f>
        <v/>
      </c>
      <c r="L969" s="33" t="n"/>
      <c r="M969" s="34">
        <f>IF(COUNTA(A969:B969,D969:I969,L969)=0,"",IF(B969="","案件番号がありません",IF(ISNA(MATCH(B969,'案件'!$A$6:$A$105,0)),"案件シートに無い番号です",IF(NOT(OR(D969="材料費",D969="労務費",D969="外注費",D969="経費")),"費目を4つから選んでください",IF(K969="",IF(AND(ISNUMBER(F969),NOT(ISNUMBER(J969))),IF(D969="労務費","単価がありません（設定の作業者名と同じ書き方に）","単価がありません"),IF(AND(ISNUMBER(J969),NOT(ISNUMBER(F969))),"数量がありません","金額がありません")),IF(NOT(ISNUMBER(A969)),"日付がありません（月別集計に入りません）",IF(AND(ISNUMBER(F969),ISNUMBER(J969),ISNUMBER(I969)),"数量×単価を使いました（金額の欄は使っていません）","")))))))</f>
        <v/>
      </c>
      <c r="N969" s="91">
        <f>IF(AND(B969&lt;&gt;"",B969='案件カード'!$C$3),COUNTIF($B$5:B969,'案件カード'!$C$3),"")</f>
        <v/>
      </c>
      <c r="O969" s="91">
        <f>IF(ISNUMBER(K969),IF(B969="",K969,IF(AND(ISNUMBER(MATCH(B969,'案件'!$A$6:$A$105,0)),OR(D969="材料費",D969="労務費",D969="外注費",D969="経費")),0,K969)),0)</f>
        <v/>
      </c>
    </row>
    <row r="970" ht="16" customHeight="1">
      <c r="A970" s="35" t="n"/>
      <c r="B970" s="36" t="n"/>
      <c r="C970" s="37">
        <f>IF(B970="","",IFERROR(INDEX('案件'!$B$6:$B$105,MATCH(B970,'案件'!$A$6:$A$105,0))&amp;"","（案件シートに無い番号）"))</f>
        <v/>
      </c>
      <c r="D970" s="36" t="n"/>
      <c r="E970" s="38" t="n"/>
      <c r="F970" s="39" t="n"/>
      <c r="G970" s="36" t="n"/>
      <c r="H970" s="40" t="n"/>
      <c r="I970" s="40" t="n"/>
      <c r="J970" s="41">
        <f>IF(ISNUMBER(H970),H970,IF(AND(D970="労務費",TRIM(E970)&lt;&gt;""),IFERROR(INDEX('設定'!$G$12:$G$31,MATCH(TRIM(E970),'設定'!$J$12:$J$31,0)),""),""))</f>
        <v/>
      </c>
      <c r="K970" s="30">
        <f>IF(AND(ISNUMBER(F970),ISNUMBER(J970)),ROUND(F970*J970,0),IF(ISNUMBER(I970),I970,""))</f>
        <v/>
      </c>
      <c r="L970" s="33" t="n"/>
      <c r="M970" s="34">
        <f>IF(COUNTA(A970:B970,D970:I970,L970)=0,"",IF(B970="","案件番号がありません",IF(ISNA(MATCH(B970,'案件'!$A$6:$A$105,0)),"案件シートに無い番号です",IF(NOT(OR(D970="材料費",D970="労務費",D970="外注費",D970="経費")),"費目を4つから選んでください",IF(K970="",IF(AND(ISNUMBER(F970),NOT(ISNUMBER(J970))),IF(D970="労務費","単価がありません（設定の作業者名と同じ書き方に）","単価がありません"),IF(AND(ISNUMBER(J970),NOT(ISNUMBER(F970))),"数量がありません","金額がありません")),IF(NOT(ISNUMBER(A970)),"日付がありません（月別集計に入りません）",IF(AND(ISNUMBER(F970),ISNUMBER(J970),ISNUMBER(I970)),"数量×単価を使いました（金額の欄は使っていません）","")))))))</f>
        <v/>
      </c>
      <c r="N970" s="91">
        <f>IF(AND(B970&lt;&gt;"",B970='案件カード'!$C$3),COUNTIF($B$5:B970,'案件カード'!$C$3),"")</f>
        <v/>
      </c>
      <c r="O970" s="91">
        <f>IF(ISNUMBER(K970),IF(B970="",K970,IF(AND(ISNUMBER(MATCH(B970,'案件'!$A$6:$A$105,0)),OR(D970="材料費",D970="労務費",D970="外注費",D970="経費")),0,K970)),0)</f>
        <v/>
      </c>
    </row>
    <row r="971" ht="16" customHeight="1">
      <c r="A971" s="35" t="n"/>
      <c r="B971" s="36" t="n"/>
      <c r="C971" s="37">
        <f>IF(B971="","",IFERROR(INDEX('案件'!$B$6:$B$105,MATCH(B971,'案件'!$A$6:$A$105,0))&amp;"","（案件シートに無い番号）"))</f>
        <v/>
      </c>
      <c r="D971" s="36" t="n"/>
      <c r="E971" s="38" t="n"/>
      <c r="F971" s="39" t="n"/>
      <c r="G971" s="36" t="n"/>
      <c r="H971" s="40" t="n"/>
      <c r="I971" s="40" t="n"/>
      <c r="J971" s="41">
        <f>IF(ISNUMBER(H971),H971,IF(AND(D971="労務費",TRIM(E971)&lt;&gt;""),IFERROR(INDEX('設定'!$G$12:$G$31,MATCH(TRIM(E971),'設定'!$J$12:$J$31,0)),""),""))</f>
        <v/>
      </c>
      <c r="K971" s="30">
        <f>IF(AND(ISNUMBER(F971),ISNUMBER(J971)),ROUND(F971*J971,0),IF(ISNUMBER(I971),I971,""))</f>
        <v/>
      </c>
      <c r="L971" s="33" t="n"/>
      <c r="M971" s="34">
        <f>IF(COUNTA(A971:B971,D971:I971,L971)=0,"",IF(B971="","案件番号がありません",IF(ISNA(MATCH(B971,'案件'!$A$6:$A$105,0)),"案件シートに無い番号です",IF(NOT(OR(D971="材料費",D971="労務費",D971="外注費",D971="経費")),"費目を4つから選んでください",IF(K971="",IF(AND(ISNUMBER(F971),NOT(ISNUMBER(J971))),IF(D971="労務費","単価がありません（設定の作業者名と同じ書き方に）","単価がありません"),IF(AND(ISNUMBER(J971),NOT(ISNUMBER(F971))),"数量がありません","金額がありません")),IF(NOT(ISNUMBER(A971)),"日付がありません（月別集計に入りません）",IF(AND(ISNUMBER(F971),ISNUMBER(J971),ISNUMBER(I971)),"数量×単価を使いました（金額の欄は使っていません）","")))))))</f>
        <v/>
      </c>
      <c r="N971" s="91">
        <f>IF(AND(B971&lt;&gt;"",B971='案件カード'!$C$3),COUNTIF($B$5:B971,'案件カード'!$C$3),"")</f>
        <v/>
      </c>
      <c r="O971" s="91">
        <f>IF(ISNUMBER(K971),IF(B971="",K971,IF(AND(ISNUMBER(MATCH(B971,'案件'!$A$6:$A$105,0)),OR(D971="材料費",D971="労務費",D971="外注費",D971="経費")),0,K971)),0)</f>
        <v/>
      </c>
    </row>
    <row r="972" ht="16" customHeight="1">
      <c r="A972" s="35" t="n"/>
      <c r="B972" s="36" t="n"/>
      <c r="C972" s="37">
        <f>IF(B972="","",IFERROR(INDEX('案件'!$B$6:$B$105,MATCH(B972,'案件'!$A$6:$A$105,0))&amp;"","（案件シートに無い番号）"))</f>
        <v/>
      </c>
      <c r="D972" s="36" t="n"/>
      <c r="E972" s="38" t="n"/>
      <c r="F972" s="39" t="n"/>
      <c r="G972" s="36" t="n"/>
      <c r="H972" s="40" t="n"/>
      <c r="I972" s="40" t="n"/>
      <c r="J972" s="41">
        <f>IF(ISNUMBER(H972),H972,IF(AND(D972="労務費",TRIM(E972)&lt;&gt;""),IFERROR(INDEX('設定'!$G$12:$G$31,MATCH(TRIM(E972),'設定'!$J$12:$J$31,0)),""),""))</f>
        <v/>
      </c>
      <c r="K972" s="30">
        <f>IF(AND(ISNUMBER(F972),ISNUMBER(J972)),ROUND(F972*J972,0),IF(ISNUMBER(I972),I972,""))</f>
        <v/>
      </c>
      <c r="L972" s="33" t="n"/>
      <c r="M972" s="34">
        <f>IF(COUNTA(A972:B972,D972:I972,L972)=0,"",IF(B972="","案件番号がありません",IF(ISNA(MATCH(B972,'案件'!$A$6:$A$105,0)),"案件シートに無い番号です",IF(NOT(OR(D972="材料費",D972="労務費",D972="外注費",D972="経費")),"費目を4つから選んでください",IF(K972="",IF(AND(ISNUMBER(F972),NOT(ISNUMBER(J972))),IF(D972="労務費","単価がありません（設定の作業者名と同じ書き方に）","単価がありません"),IF(AND(ISNUMBER(J972),NOT(ISNUMBER(F972))),"数量がありません","金額がありません")),IF(NOT(ISNUMBER(A972)),"日付がありません（月別集計に入りません）",IF(AND(ISNUMBER(F972),ISNUMBER(J972),ISNUMBER(I972)),"数量×単価を使いました（金額の欄は使っていません）","")))))))</f>
        <v/>
      </c>
      <c r="N972" s="91">
        <f>IF(AND(B972&lt;&gt;"",B972='案件カード'!$C$3),COUNTIF($B$5:B972,'案件カード'!$C$3),"")</f>
        <v/>
      </c>
      <c r="O972" s="91">
        <f>IF(ISNUMBER(K972),IF(B972="",K972,IF(AND(ISNUMBER(MATCH(B972,'案件'!$A$6:$A$105,0)),OR(D972="材料費",D972="労務費",D972="外注費",D972="経費")),0,K972)),0)</f>
        <v/>
      </c>
    </row>
    <row r="973" ht="16" customHeight="1">
      <c r="A973" s="35" t="n"/>
      <c r="B973" s="36" t="n"/>
      <c r="C973" s="37">
        <f>IF(B973="","",IFERROR(INDEX('案件'!$B$6:$B$105,MATCH(B973,'案件'!$A$6:$A$105,0))&amp;"","（案件シートに無い番号）"))</f>
        <v/>
      </c>
      <c r="D973" s="36" t="n"/>
      <c r="E973" s="38" t="n"/>
      <c r="F973" s="39" t="n"/>
      <c r="G973" s="36" t="n"/>
      <c r="H973" s="40" t="n"/>
      <c r="I973" s="40" t="n"/>
      <c r="J973" s="41">
        <f>IF(ISNUMBER(H973),H973,IF(AND(D973="労務費",TRIM(E973)&lt;&gt;""),IFERROR(INDEX('設定'!$G$12:$G$31,MATCH(TRIM(E973),'設定'!$J$12:$J$31,0)),""),""))</f>
        <v/>
      </c>
      <c r="K973" s="30">
        <f>IF(AND(ISNUMBER(F973),ISNUMBER(J973)),ROUND(F973*J973,0),IF(ISNUMBER(I973),I973,""))</f>
        <v/>
      </c>
      <c r="L973" s="33" t="n"/>
      <c r="M973" s="34">
        <f>IF(COUNTA(A973:B973,D973:I973,L973)=0,"",IF(B973="","案件番号がありません",IF(ISNA(MATCH(B973,'案件'!$A$6:$A$105,0)),"案件シートに無い番号です",IF(NOT(OR(D973="材料費",D973="労務費",D973="外注費",D973="経費")),"費目を4つから選んでください",IF(K973="",IF(AND(ISNUMBER(F973),NOT(ISNUMBER(J973))),IF(D973="労務費","単価がありません（設定の作業者名と同じ書き方に）","単価がありません"),IF(AND(ISNUMBER(J973),NOT(ISNUMBER(F973))),"数量がありません","金額がありません")),IF(NOT(ISNUMBER(A973)),"日付がありません（月別集計に入りません）",IF(AND(ISNUMBER(F973),ISNUMBER(J973),ISNUMBER(I973)),"数量×単価を使いました（金額の欄は使っていません）","")))))))</f>
        <v/>
      </c>
      <c r="N973" s="91">
        <f>IF(AND(B973&lt;&gt;"",B973='案件カード'!$C$3),COUNTIF($B$5:B973,'案件カード'!$C$3),"")</f>
        <v/>
      </c>
      <c r="O973" s="91">
        <f>IF(ISNUMBER(K973),IF(B973="",K973,IF(AND(ISNUMBER(MATCH(B973,'案件'!$A$6:$A$105,0)),OR(D973="材料費",D973="労務費",D973="外注費",D973="経費")),0,K973)),0)</f>
        <v/>
      </c>
    </row>
    <row r="974" ht="16" customHeight="1">
      <c r="A974" s="35" t="n"/>
      <c r="B974" s="36" t="n"/>
      <c r="C974" s="37">
        <f>IF(B974="","",IFERROR(INDEX('案件'!$B$6:$B$105,MATCH(B974,'案件'!$A$6:$A$105,0))&amp;"","（案件シートに無い番号）"))</f>
        <v/>
      </c>
      <c r="D974" s="36" t="n"/>
      <c r="E974" s="38" t="n"/>
      <c r="F974" s="39" t="n"/>
      <c r="G974" s="36" t="n"/>
      <c r="H974" s="40" t="n"/>
      <c r="I974" s="40" t="n"/>
      <c r="J974" s="41">
        <f>IF(ISNUMBER(H974),H974,IF(AND(D974="労務費",TRIM(E974)&lt;&gt;""),IFERROR(INDEX('設定'!$G$12:$G$31,MATCH(TRIM(E974),'設定'!$J$12:$J$31,0)),""),""))</f>
        <v/>
      </c>
      <c r="K974" s="30">
        <f>IF(AND(ISNUMBER(F974),ISNUMBER(J974)),ROUND(F974*J974,0),IF(ISNUMBER(I974),I974,""))</f>
        <v/>
      </c>
      <c r="L974" s="33" t="n"/>
      <c r="M974" s="34">
        <f>IF(COUNTA(A974:B974,D974:I974,L974)=0,"",IF(B974="","案件番号がありません",IF(ISNA(MATCH(B974,'案件'!$A$6:$A$105,0)),"案件シートに無い番号です",IF(NOT(OR(D974="材料費",D974="労務費",D974="外注費",D974="経費")),"費目を4つから選んでください",IF(K974="",IF(AND(ISNUMBER(F974),NOT(ISNUMBER(J974))),IF(D974="労務費","単価がありません（設定の作業者名と同じ書き方に）","単価がありません"),IF(AND(ISNUMBER(J974),NOT(ISNUMBER(F974))),"数量がありません","金額がありません")),IF(NOT(ISNUMBER(A974)),"日付がありません（月別集計に入りません）",IF(AND(ISNUMBER(F974),ISNUMBER(J974),ISNUMBER(I974)),"数量×単価を使いました（金額の欄は使っていません）","")))))))</f>
        <v/>
      </c>
      <c r="N974" s="91">
        <f>IF(AND(B974&lt;&gt;"",B974='案件カード'!$C$3),COUNTIF($B$5:B974,'案件カード'!$C$3),"")</f>
        <v/>
      </c>
      <c r="O974" s="91">
        <f>IF(ISNUMBER(K974),IF(B974="",K974,IF(AND(ISNUMBER(MATCH(B974,'案件'!$A$6:$A$105,0)),OR(D974="材料費",D974="労務費",D974="外注費",D974="経費")),0,K974)),0)</f>
        <v/>
      </c>
    </row>
    <row r="975" ht="16" customHeight="1">
      <c r="A975" s="35" t="n"/>
      <c r="B975" s="36" t="n"/>
      <c r="C975" s="37">
        <f>IF(B975="","",IFERROR(INDEX('案件'!$B$6:$B$105,MATCH(B975,'案件'!$A$6:$A$105,0))&amp;"","（案件シートに無い番号）"))</f>
        <v/>
      </c>
      <c r="D975" s="36" t="n"/>
      <c r="E975" s="38" t="n"/>
      <c r="F975" s="39" t="n"/>
      <c r="G975" s="36" t="n"/>
      <c r="H975" s="40" t="n"/>
      <c r="I975" s="40" t="n"/>
      <c r="J975" s="41">
        <f>IF(ISNUMBER(H975),H975,IF(AND(D975="労務費",TRIM(E975)&lt;&gt;""),IFERROR(INDEX('設定'!$G$12:$G$31,MATCH(TRIM(E975),'設定'!$J$12:$J$31,0)),""),""))</f>
        <v/>
      </c>
      <c r="K975" s="30">
        <f>IF(AND(ISNUMBER(F975),ISNUMBER(J975)),ROUND(F975*J975,0),IF(ISNUMBER(I975),I975,""))</f>
        <v/>
      </c>
      <c r="L975" s="33" t="n"/>
      <c r="M975" s="34">
        <f>IF(COUNTA(A975:B975,D975:I975,L975)=0,"",IF(B975="","案件番号がありません",IF(ISNA(MATCH(B975,'案件'!$A$6:$A$105,0)),"案件シートに無い番号です",IF(NOT(OR(D975="材料費",D975="労務費",D975="外注費",D975="経費")),"費目を4つから選んでください",IF(K975="",IF(AND(ISNUMBER(F975),NOT(ISNUMBER(J975))),IF(D975="労務費","単価がありません（設定の作業者名と同じ書き方に）","単価がありません"),IF(AND(ISNUMBER(J975),NOT(ISNUMBER(F975))),"数量がありません","金額がありません")),IF(NOT(ISNUMBER(A975)),"日付がありません（月別集計に入りません）",IF(AND(ISNUMBER(F975),ISNUMBER(J975),ISNUMBER(I975)),"数量×単価を使いました（金額の欄は使っていません）","")))))))</f>
        <v/>
      </c>
      <c r="N975" s="91">
        <f>IF(AND(B975&lt;&gt;"",B975='案件カード'!$C$3),COUNTIF($B$5:B975,'案件カード'!$C$3),"")</f>
        <v/>
      </c>
      <c r="O975" s="91">
        <f>IF(ISNUMBER(K975),IF(B975="",K975,IF(AND(ISNUMBER(MATCH(B975,'案件'!$A$6:$A$105,0)),OR(D975="材料費",D975="労務費",D975="外注費",D975="経費")),0,K975)),0)</f>
        <v/>
      </c>
    </row>
    <row r="976" ht="16" customHeight="1">
      <c r="A976" s="35" t="n"/>
      <c r="B976" s="36" t="n"/>
      <c r="C976" s="37">
        <f>IF(B976="","",IFERROR(INDEX('案件'!$B$6:$B$105,MATCH(B976,'案件'!$A$6:$A$105,0))&amp;"","（案件シートに無い番号）"))</f>
        <v/>
      </c>
      <c r="D976" s="36" t="n"/>
      <c r="E976" s="38" t="n"/>
      <c r="F976" s="39" t="n"/>
      <c r="G976" s="36" t="n"/>
      <c r="H976" s="40" t="n"/>
      <c r="I976" s="40" t="n"/>
      <c r="J976" s="41">
        <f>IF(ISNUMBER(H976),H976,IF(AND(D976="労務費",TRIM(E976)&lt;&gt;""),IFERROR(INDEX('設定'!$G$12:$G$31,MATCH(TRIM(E976),'設定'!$J$12:$J$31,0)),""),""))</f>
        <v/>
      </c>
      <c r="K976" s="30">
        <f>IF(AND(ISNUMBER(F976),ISNUMBER(J976)),ROUND(F976*J976,0),IF(ISNUMBER(I976),I976,""))</f>
        <v/>
      </c>
      <c r="L976" s="33" t="n"/>
      <c r="M976" s="34">
        <f>IF(COUNTA(A976:B976,D976:I976,L976)=0,"",IF(B976="","案件番号がありません",IF(ISNA(MATCH(B976,'案件'!$A$6:$A$105,0)),"案件シートに無い番号です",IF(NOT(OR(D976="材料費",D976="労務費",D976="外注費",D976="経費")),"費目を4つから選んでください",IF(K976="",IF(AND(ISNUMBER(F976),NOT(ISNUMBER(J976))),IF(D976="労務費","単価がありません（設定の作業者名と同じ書き方に）","単価がありません"),IF(AND(ISNUMBER(J976),NOT(ISNUMBER(F976))),"数量がありません","金額がありません")),IF(NOT(ISNUMBER(A976)),"日付がありません（月別集計に入りません）",IF(AND(ISNUMBER(F976),ISNUMBER(J976),ISNUMBER(I976)),"数量×単価を使いました（金額の欄は使っていません）","")))))))</f>
        <v/>
      </c>
      <c r="N976" s="91">
        <f>IF(AND(B976&lt;&gt;"",B976='案件カード'!$C$3),COUNTIF($B$5:B976,'案件カード'!$C$3),"")</f>
        <v/>
      </c>
      <c r="O976" s="91">
        <f>IF(ISNUMBER(K976),IF(B976="",K976,IF(AND(ISNUMBER(MATCH(B976,'案件'!$A$6:$A$105,0)),OR(D976="材料費",D976="労務費",D976="外注費",D976="経費")),0,K976)),0)</f>
        <v/>
      </c>
    </row>
    <row r="977" ht="16" customHeight="1">
      <c r="A977" s="35" t="n"/>
      <c r="B977" s="36" t="n"/>
      <c r="C977" s="37">
        <f>IF(B977="","",IFERROR(INDEX('案件'!$B$6:$B$105,MATCH(B977,'案件'!$A$6:$A$105,0))&amp;"","（案件シートに無い番号）"))</f>
        <v/>
      </c>
      <c r="D977" s="36" t="n"/>
      <c r="E977" s="38" t="n"/>
      <c r="F977" s="39" t="n"/>
      <c r="G977" s="36" t="n"/>
      <c r="H977" s="40" t="n"/>
      <c r="I977" s="40" t="n"/>
      <c r="J977" s="41">
        <f>IF(ISNUMBER(H977),H977,IF(AND(D977="労務費",TRIM(E977)&lt;&gt;""),IFERROR(INDEX('設定'!$G$12:$G$31,MATCH(TRIM(E977),'設定'!$J$12:$J$31,0)),""),""))</f>
        <v/>
      </c>
      <c r="K977" s="30">
        <f>IF(AND(ISNUMBER(F977),ISNUMBER(J977)),ROUND(F977*J977,0),IF(ISNUMBER(I977),I977,""))</f>
        <v/>
      </c>
      <c r="L977" s="33" t="n"/>
      <c r="M977" s="34">
        <f>IF(COUNTA(A977:B977,D977:I977,L977)=0,"",IF(B977="","案件番号がありません",IF(ISNA(MATCH(B977,'案件'!$A$6:$A$105,0)),"案件シートに無い番号です",IF(NOT(OR(D977="材料費",D977="労務費",D977="外注費",D977="経費")),"費目を4つから選んでください",IF(K977="",IF(AND(ISNUMBER(F977),NOT(ISNUMBER(J977))),IF(D977="労務費","単価がありません（設定の作業者名と同じ書き方に）","単価がありません"),IF(AND(ISNUMBER(J977),NOT(ISNUMBER(F977))),"数量がありません","金額がありません")),IF(NOT(ISNUMBER(A977)),"日付がありません（月別集計に入りません）",IF(AND(ISNUMBER(F977),ISNUMBER(J977),ISNUMBER(I977)),"数量×単価を使いました（金額の欄は使っていません）","")))))))</f>
        <v/>
      </c>
      <c r="N977" s="91">
        <f>IF(AND(B977&lt;&gt;"",B977='案件カード'!$C$3),COUNTIF($B$5:B977,'案件カード'!$C$3),"")</f>
        <v/>
      </c>
      <c r="O977" s="91">
        <f>IF(ISNUMBER(K977),IF(B977="",K977,IF(AND(ISNUMBER(MATCH(B977,'案件'!$A$6:$A$105,0)),OR(D977="材料費",D977="労務費",D977="外注費",D977="経費")),0,K977)),0)</f>
        <v/>
      </c>
    </row>
    <row r="978" ht="16" customHeight="1">
      <c r="A978" s="35" t="n"/>
      <c r="B978" s="36" t="n"/>
      <c r="C978" s="37">
        <f>IF(B978="","",IFERROR(INDEX('案件'!$B$6:$B$105,MATCH(B978,'案件'!$A$6:$A$105,0))&amp;"","（案件シートに無い番号）"))</f>
        <v/>
      </c>
      <c r="D978" s="36" t="n"/>
      <c r="E978" s="38" t="n"/>
      <c r="F978" s="39" t="n"/>
      <c r="G978" s="36" t="n"/>
      <c r="H978" s="40" t="n"/>
      <c r="I978" s="40" t="n"/>
      <c r="J978" s="41">
        <f>IF(ISNUMBER(H978),H978,IF(AND(D978="労務費",TRIM(E978)&lt;&gt;""),IFERROR(INDEX('設定'!$G$12:$G$31,MATCH(TRIM(E978),'設定'!$J$12:$J$31,0)),""),""))</f>
        <v/>
      </c>
      <c r="K978" s="30">
        <f>IF(AND(ISNUMBER(F978),ISNUMBER(J978)),ROUND(F978*J978,0),IF(ISNUMBER(I978),I978,""))</f>
        <v/>
      </c>
      <c r="L978" s="33" t="n"/>
      <c r="M978" s="34">
        <f>IF(COUNTA(A978:B978,D978:I978,L978)=0,"",IF(B978="","案件番号がありません",IF(ISNA(MATCH(B978,'案件'!$A$6:$A$105,0)),"案件シートに無い番号です",IF(NOT(OR(D978="材料費",D978="労務費",D978="外注費",D978="経費")),"費目を4つから選んでください",IF(K978="",IF(AND(ISNUMBER(F978),NOT(ISNUMBER(J978))),IF(D978="労務費","単価がありません（設定の作業者名と同じ書き方に）","単価がありません"),IF(AND(ISNUMBER(J978),NOT(ISNUMBER(F978))),"数量がありません","金額がありません")),IF(NOT(ISNUMBER(A978)),"日付がありません（月別集計に入りません）",IF(AND(ISNUMBER(F978),ISNUMBER(J978),ISNUMBER(I978)),"数量×単価を使いました（金額の欄は使っていません）","")))))))</f>
        <v/>
      </c>
      <c r="N978" s="91">
        <f>IF(AND(B978&lt;&gt;"",B978='案件カード'!$C$3),COUNTIF($B$5:B978,'案件カード'!$C$3),"")</f>
        <v/>
      </c>
      <c r="O978" s="91">
        <f>IF(ISNUMBER(K978),IF(B978="",K978,IF(AND(ISNUMBER(MATCH(B978,'案件'!$A$6:$A$105,0)),OR(D978="材料費",D978="労務費",D978="外注費",D978="経費")),0,K978)),0)</f>
        <v/>
      </c>
    </row>
    <row r="979" ht="16" customHeight="1">
      <c r="A979" s="35" t="n"/>
      <c r="B979" s="36" t="n"/>
      <c r="C979" s="37">
        <f>IF(B979="","",IFERROR(INDEX('案件'!$B$6:$B$105,MATCH(B979,'案件'!$A$6:$A$105,0))&amp;"","（案件シートに無い番号）"))</f>
        <v/>
      </c>
      <c r="D979" s="36" t="n"/>
      <c r="E979" s="38" t="n"/>
      <c r="F979" s="39" t="n"/>
      <c r="G979" s="36" t="n"/>
      <c r="H979" s="40" t="n"/>
      <c r="I979" s="40" t="n"/>
      <c r="J979" s="41">
        <f>IF(ISNUMBER(H979),H979,IF(AND(D979="労務費",TRIM(E979)&lt;&gt;""),IFERROR(INDEX('設定'!$G$12:$G$31,MATCH(TRIM(E979),'設定'!$J$12:$J$31,0)),""),""))</f>
        <v/>
      </c>
      <c r="K979" s="30">
        <f>IF(AND(ISNUMBER(F979),ISNUMBER(J979)),ROUND(F979*J979,0),IF(ISNUMBER(I979),I979,""))</f>
        <v/>
      </c>
      <c r="L979" s="33" t="n"/>
      <c r="M979" s="34">
        <f>IF(COUNTA(A979:B979,D979:I979,L979)=0,"",IF(B979="","案件番号がありません",IF(ISNA(MATCH(B979,'案件'!$A$6:$A$105,0)),"案件シートに無い番号です",IF(NOT(OR(D979="材料費",D979="労務費",D979="外注費",D979="経費")),"費目を4つから選んでください",IF(K979="",IF(AND(ISNUMBER(F979),NOT(ISNUMBER(J979))),IF(D979="労務費","単価がありません（設定の作業者名と同じ書き方に）","単価がありません"),IF(AND(ISNUMBER(J979),NOT(ISNUMBER(F979))),"数量がありません","金額がありません")),IF(NOT(ISNUMBER(A979)),"日付がありません（月別集計に入りません）",IF(AND(ISNUMBER(F979),ISNUMBER(J979),ISNUMBER(I979)),"数量×単価を使いました（金額の欄は使っていません）","")))))))</f>
        <v/>
      </c>
      <c r="N979" s="91">
        <f>IF(AND(B979&lt;&gt;"",B979='案件カード'!$C$3),COUNTIF($B$5:B979,'案件カード'!$C$3),"")</f>
        <v/>
      </c>
      <c r="O979" s="91">
        <f>IF(ISNUMBER(K979),IF(B979="",K979,IF(AND(ISNUMBER(MATCH(B979,'案件'!$A$6:$A$105,0)),OR(D979="材料費",D979="労務費",D979="外注費",D979="経費")),0,K979)),0)</f>
        <v/>
      </c>
    </row>
    <row r="980" ht="16" customHeight="1">
      <c r="A980" s="35" t="n"/>
      <c r="B980" s="36" t="n"/>
      <c r="C980" s="37">
        <f>IF(B980="","",IFERROR(INDEX('案件'!$B$6:$B$105,MATCH(B980,'案件'!$A$6:$A$105,0))&amp;"","（案件シートに無い番号）"))</f>
        <v/>
      </c>
      <c r="D980" s="36" t="n"/>
      <c r="E980" s="38" t="n"/>
      <c r="F980" s="39" t="n"/>
      <c r="G980" s="36" t="n"/>
      <c r="H980" s="40" t="n"/>
      <c r="I980" s="40" t="n"/>
      <c r="J980" s="41">
        <f>IF(ISNUMBER(H980),H980,IF(AND(D980="労務費",TRIM(E980)&lt;&gt;""),IFERROR(INDEX('設定'!$G$12:$G$31,MATCH(TRIM(E980),'設定'!$J$12:$J$31,0)),""),""))</f>
        <v/>
      </c>
      <c r="K980" s="30">
        <f>IF(AND(ISNUMBER(F980),ISNUMBER(J980)),ROUND(F980*J980,0),IF(ISNUMBER(I980),I980,""))</f>
        <v/>
      </c>
      <c r="L980" s="33" t="n"/>
      <c r="M980" s="34">
        <f>IF(COUNTA(A980:B980,D980:I980,L980)=0,"",IF(B980="","案件番号がありません",IF(ISNA(MATCH(B980,'案件'!$A$6:$A$105,0)),"案件シートに無い番号です",IF(NOT(OR(D980="材料費",D980="労務費",D980="外注費",D980="経費")),"費目を4つから選んでください",IF(K980="",IF(AND(ISNUMBER(F980),NOT(ISNUMBER(J980))),IF(D980="労務費","単価がありません（設定の作業者名と同じ書き方に）","単価がありません"),IF(AND(ISNUMBER(J980),NOT(ISNUMBER(F980))),"数量がありません","金額がありません")),IF(NOT(ISNUMBER(A980)),"日付がありません（月別集計に入りません）",IF(AND(ISNUMBER(F980),ISNUMBER(J980),ISNUMBER(I980)),"数量×単価を使いました（金額の欄は使っていません）","")))))))</f>
        <v/>
      </c>
      <c r="N980" s="91">
        <f>IF(AND(B980&lt;&gt;"",B980='案件カード'!$C$3),COUNTIF($B$5:B980,'案件カード'!$C$3),"")</f>
        <v/>
      </c>
      <c r="O980" s="91">
        <f>IF(ISNUMBER(K980),IF(B980="",K980,IF(AND(ISNUMBER(MATCH(B980,'案件'!$A$6:$A$105,0)),OR(D980="材料費",D980="労務費",D980="外注費",D980="経費")),0,K980)),0)</f>
        <v/>
      </c>
    </row>
    <row r="981" ht="16" customHeight="1">
      <c r="A981" s="35" t="n"/>
      <c r="B981" s="36" t="n"/>
      <c r="C981" s="37">
        <f>IF(B981="","",IFERROR(INDEX('案件'!$B$6:$B$105,MATCH(B981,'案件'!$A$6:$A$105,0))&amp;"","（案件シートに無い番号）"))</f>
        <v/>
      </c>
      <c r="D981" s="36" t="n"/>
      <c r="E981" s="38" t="n"/>
      <c r="F981" s="39" t="n"/>
      <c r="G981" s="36" t="n"/>
      <c r="H981" s="40" t="n"/>
      <c r="I981" s="40" t="n"/>
      <c r="J981" s="41">
        <f>IF(ISNUMBER(H981),H981,IF(AND(D981="労務費",TRIM(E981)&lt;&gt;""),IFERROR(INDEX('設定'!$G$12:$G$31,MATCH(TRIM(E981),'設定'!$J$12:$J$31,0)),""),""))</f>
        <v/>
      </c>
      <c r="K981" s="30">
        <f>IF(AND(ISNUMBER(F981),ISNUMBER(J981)),ROUND(F981*J981,0),IF(ISNUMBER(I981),I981,""))</f>
        <v/>
      </c>
      <c r="L981" s="33" t="n"/>
      <c r="M981" s="34">
        <f>IF(COUNTA(A981:B981,D981:I981,L981)=0,"",IF(B981="","案件番号がありません",IF(ISNA(MATCH(B981,'案件'!$A$6:$A$105,0)),"案件シートに無い番号です",IF(NOT(OR(D981="材料費",D981="労務費",D981="外注費",D981="経費")),"費目を4つから選んでください",IF(K981="",IF(AND(ISNUMBER(F981),NOT(ISNUMBER(J981))),IF(D981="労務費","単価がありません（設定の作業者名と同じ書き方に）","単価がありません"),IF(AND(ISNUMBER(J981),NOT(ISNUMBER(F981))),"数量がありません","金額がありません")),IF(NOT(ISNUMBER(A981)),"日付がありません（月別集計に入りません）",IF(AND(ISNUMBER(F981),ISNUMBER(J981),ISNUMBER(I981)),"数量×単価を使いました（金額の欄は使っていません）","")))))))</f>
        <v/>
      </c>
      <c r="N981" s="91">
        <f>IF(AND(B981&lt;&gt;"",B981='案件カード'!$C$3),COUNTIF($B$5:B981,'案件カード'!$C$3),"")</f>
        <v/>
      </c>
      <c r="O981" s="91">
        <f>IF(ISNUMBER(K981),IF(B981="",K981,IF(AND(ISNUMBER(MATCH(B981,'案件'!$A$6:$A$105,0)),OR(D981="材料費",D981="労務費",D981="外注費",D981="経費")),0,K981)),0)</f>
        <v/>
      </c>
    </row>
    <row r="982" ht="16" customHeight="1">
      <c r="A982" s="35" t="n"/>
      <c r="B982" s="36" t="n"/>
      <c r="C982" s="37">
        <f>IF(B982="","",IFERROR(INDEX('案件'!$B$6:$B$105,MATCH(B982,'案件'!$A$6:$A$105,0))&amp;"","（案件シートに無い番号）"))</f>
        <v/>
      </c>
      <c r="D982" s="36" t="n"/>
      <c r="E982" s="38" t="n"/>
      <c r="F982" s="39" t="n"/>
      <c r="G982" s="36" t="n"/>
      <c r="H982" s="40" t="n"/>
      <c r="I982" s="40" t="n"/>
      <c r="J982" s="41">
        <f>IF(ISNUMBER(H982),H982,IF(AND(D982="労務費",TRIM(E982)&lt;&gt;""),IFERROR(INDEX('設定'!$G$12:$G$31,MATCH(TRIM(E982),'設定'!$J$12:$J$31,0)),""),""))</f>
        <v/>
      </c>
      <c r="K982" s="30">
        <f>IF(AND(ISNUMBER(F982),ISNUMBER(J982)),ROUND(F982*J982,0),IF(ISNUMBER(I982),I982,""))</f>
        <v/>
      </c>
      <c r="L982" s="33" t="n"/>
      <c r="M982" s="34">
        <f>IF(COUNTA(A982:B982,D982:I982,L982)=0,"",IF(B982="","案件番号がありません",IF(ISNA(MATCH(B982,'案件'!$A$6:$A$105,0)),"案件シートに無い番号です",IF(NOT(OR(D982="材料費",D982="労務費",D982="外注費",D982="経費")),"費目を4つから選んでください",IF(K982="",IF(AND(ISNUMBER(F982),NOT(ISNUMBER(J982))),IF(D982="労務費","単価がありません（設定の作業者名と同じ書き方に）","単価がありません"),IF(AND(ISNUMBER(J982),NOT(ISNUMBER(F982))),"数量がありません","金額がありません")),IF(NOT(ISNUMBER(A982)),"日付がありません（月別集計に入りません）",IF(AND(ISNUMBER(F982),ISNUMBER(J982),ISNUMBER(I982)),"数量×単価を使いました（金額の欄は使っていません）","")))))))</f>
        <v/>
      </c>
      <c r="N982" s="91">
        <f>IF(AND(B982&lt;&gt;"",B982='案件カード'!$C$3),COUNTIF($B$5:B982,'案件カード'!$C$3),"")</f>
        <v/>
      </c>
      <c r="O982" s="91">
        <f>IF(ISNUMBER(K982),IF(B982="",K982,IF(AND(ISNUMBER(MATCH(B982,'案件'!$A$6:$A$105,0)),OR(D982="材料費",D982="労務費",D982="外注費",D982="経費")),0,K982)),0)</f>
        <v/>
      </c>
    </row>
    <row r="983" ht="16" customHeight="1">
      <c r="A983" s="35" t="n"/>
      <c r="B983" s="36" t="n"/>
      <c r="C983" s="37">
        <f>IF(B983="","",IFERROR(INDEX('案件'!$B$6:$B$105,MATCH(B983,'案件'!$A$6:$A$105,0))&amp;"","（案件シートに無い番号）"))</f>
        <v/>
      </c>
      <c r="D983" s="36" t="n"/>
      <c r="E983" s="38" t="n"/>
      <c r="F983" s="39" t="n"/>
      <c r="G983" s="36" t="n"/>
      <c r="H983" s="40" t="n"/>
      <c r="I983" s="40" t="n"/>
      <c r="J983" s="41">
        <f>IF(ISNUMBER(H983),H983,IF(AND(D983="労務費",TRIM(E983)&lt;&gt;""),IFERROR(INDEX('設定'!$G$12:$G$31,MATCH(TRIM(E983),'設定'!$J$12:$J$31,0)),""),""))</f>
        <v/>
      </c>
      <c r="K983" s="30">
        <f>IF(AND(ISNUMBER(F983),ISNUMBER(J983)),ROUND(F983*J983,0),IF(ISNUMBER(I983),I983,""))</f>
        <v/>
      </c>
      <c r="L983" s="33" t="n"/>
      <c r="M983" s="34">
        <f>IF(COUNTA(A983:B983,D983:I983,L983)=0,"",IF(B983="","案件番号がありません",IF(ISNA(MATCH(B983,'案件'!$A$6:$A$105,0)),"案件シートに無い番号です",IF(NOT(OR(D983="材料費",D983="労務費",D983="外注費",D983="経費")),"費目を4つから選んでください",IF(K983="",IF(AND(ISNUMBER(F983),NOT(ISNUMBER(J983))),IF(D983="労務費","単価がありません（設定の作業者名と同じ書き方に）","単価がありません"),IF(AND(ISNUMBER(J983),NOT(ISNUMBER(F983))),"数量がありません","金額がありません")),IF(NOT(ISNUMBER(A983)),"日付がありません（月別集計に入りません）",IF(AND(ISNUMBER(F983),ISNUMBER(J983),ISNUMBER(I983)),"数量×単価を使いました（金額の欄は使っていません）","")))))))</f>
        <v/>
      </c>
      <c r="N983" s="91">
        <f>IF(AND(B983&lt;&gt;"",B983='案件カード'!$C$3),COUNTIF($B$5:B983,'案件カード'!$C$3),"")</f>
        <v/>
      </c>
      <c r="O983" s="91">
        <f>IF(ISNUMBER(K983),IF(B983="",K983,IF(AND(ISNUMBER(MATCH(B983,'案件'!$A$6:$A$105,0)),OR(D983="材料費",D983="労務費",D983="外注費",D983="経費")),0,K983)),0)</f>
        <v/>
      </c>
    </row>
    <row r="984" ht="16" customHeight="1">
      <c r="A984" s="35" t="n"/>
      <c r="B984" s="36" t="n"/>
      <c r="C984" s="37">
        <f>IF(B984="","",IFERROR(INDEX('案件'!$B$6:$B$105,MATCH(B984,'案件'!$A$6:$A$105,0))&amp;"","（案件シートに無い番号）"))</f>
        <v/>
      </c>
      <c r="D984" s="36" t="n"/>
      <c r="E984" s="38" t="n"/>
      <c r="F984" s="39" t="n"/>
      <c r="G984" s="36" t="n"/>
      <c r="H984" s="40" t="n"/>
      <c r="I984" s="40" t="n"/>
      <c r="J984" s="41">
        <f>IF(ISNUMBER(H984),H984,IF(AND(D984="労務費",TRIM(E984)&lt;&gt;""),IFERROR(INDEX('設定'!$G$12:$G$31,MATCH(TRIM(E984),'設定'!$J$12:$J$31,0)),""),""))</f>
        <v/>
      </c>
      <c r="K984" s="30">
        <f>IF(AND(ISNUMBER(F984),ISNUMBER(J984)),ROUND(F984*J984,0),IF(ISNUMBER(I984),I984,""))</f>
        <v/>
      </c>
      <c r="L984" s="33" t="n"/>
      <c r="M984" s="34">
        <f>IF(COUNTA(A984:B984,D984:I984,L984)=0,"",IF(B984="","案件番号がありません",IF(ISNA(MATCH(B984,'案件'!$A$6:$A$105,0)),"案件シートに無い番号です",IF(NOT(OR(D984="材料費",D984="労務費",D984="外注費",D984="経費")),"費目を4つから選んでください",IF(K984="",IF(AND(ISNUMBER(F984),NOT(ISNUMBER(J984))),IF(D984="労務費","単価がありません（設定の作業者名と同じ書き方に）","単価がありません"),IF(AND(ISNUMBER(J984),NOT(ISNUMBER(F984))),"数量がありません","金額がありません")),IF(NOT(ISNUMBER(A984)),"日付がありません（月別集計に入りません）",IF(AND(ISNUMBER(F984),ISNUMBER(J984),ISNUMBER(I984)),"数量×単価を使いました（金額の欄は使っていません）","")))))))</f>
        <v/>
      </c>
      <c r="N984" s="91">
        <f>IF(AND(B984&lt;&gt;"",B984='案件カード'!$C$3),COUNTIF($B$5:B984,'案件カード'!$C$3),"")</f>
        <v/>
      </c>
      <c r="O984" s="91">
        <f>IF(ISNUMBER(K984),IF(B984="",K984,IF(AND(ISNUMBER(MATCH(B984,'案件'!$A$6:$A$105,0)),OR(D984="材料費",D984="労務費",D984="外注費",D984="経費")),0,K984)),0)</f>
        <v/>
      </c>
    </row>
    <row r="985" ht="16" customHeight="1">
      <c r="A985" s="35" t="n"/>
      <c r="B985" s="36" t="n"/>
      <c r="C985" s="37">
        <f>IF(B985="","",IFERROR(INDEX('案件'!$B$6:$B$105,MATCH(B985,'案件'!$A$6:$A$105,0))&amp;"","（案件シートに無い番号）"))</f>
        <v/>
      </c>
      <c r="D985" s="36" t="n"/>
      <c r="E985" s="38" t="n"/>
      <c r="F985" s="39" t="n"/>
      <c r="G985" s="36" t="n"/>
      <c r="H985" s="40" t="n"/>
      <c r="I985" s="40" t="n"/>
      <c r="J985" s="41">
        <f>IF(ISNUMBER(H985),H985,IF(AND(D985="労務費",TRIM(E985)&lt;&gt;""),IFERROR(INDEX('設定'!$G$12:$G$31,MATCH(TRIM(E985),'設定'!$J$12:$J$31,0)),""),""))</f>
        <v/>
      </c>
      <c r="K985" s="30">
        <f>IF(AND(ISNUMBER(F985),ISNUMBER(J985)),ROUND(F985*J985,0),IF(ISNUMBER(I985),I985,""))</f>
        <v/>
      </c>
      <c r="L985" s="33" t="n"/>
      <c r="M985" s="34">
        <f>IF(COUNTA(A985:B985,D985:I985,L985)=0,"",IF(B985="","案件番号がありません",IF(ISNA(MATCH(B985,'案件'!$A$6:$A$105,0)),"案件シートに無い番号です",IF(NOT(OR(D985="材料費",D985="労務費",D985="外注費",D985="経費")),"費目を4つから選んでください",IF(K985="",IF(AND(ISNUMBER(F985),NOT(ISNUMBER(J985))),IF(D985="労務費","単価がありません（設定の作業者名と同じ書き方に）","単価がありません"),IF(AND(ISNUMBER(J985),NOT(ISNUMBER(F985))),"数量がありません","金額がありません")),IF(NOT(ISNUMBER(A985)),"日付がありません（月別集計に入りません）",IF(AND(ISNUMBER(F985),ISNUMBER(J985),ISNUMBER(I985)),"数量×単価を使いました（金額の欄は使っていません）","")))))))</f>
        <v/>
      </c>
      <c r="N985" s="91">
        <f>IF(AND(B985&lt;&gt;"",B985='案件カード'!$C$3),COUNTIF($B$5:B985,'案件カード'!$C$3),"")</f>
        <v/>
      </c>
      <c r="O985" s="91">
        <f>IF(ISNUMBER(K985),IF(B985="",K985,IF(AND(ISNUMBER(MATCH(B985,'案件'!$A$6:$A$105,0)),OR(D985="材料費",D985="労務費",D985="外注費",D985="経費")),0,K985)),0)</f>
        <v/>
      </c>
    </row>
    <row r="986" ht="16" customHeight="1">
      <c r="A986" s="35" t="n"/>
      <c r="B986" s="36" t="n"/>
      <c r="C986" s="37">
        <f>IF(B986="","",IFERROR(INDEX('案件'!$B$6:$B$105,MATCH(B986,'案件'!$A$6:$A$105,0))&amp;"","（案件シートに無い番号）"))</f>
        <v/>
      </c>
      <c r="D986" s="36" t="n"/>
      <c r="E986" s="38" t="n"/>
      <c r="F986" s="39" t="n"/>
      <c r="G986" s="36" t="n"/>
      <c r="H986" s="40" t="n"/>
      <c r="I986" s="40" t="n"/>
      <c r="J986" s="41">
        <f>IF(ISNUMBER(H986),H986,IF(AND(D986="労務費",TRIM(E986)&lt;&gt;""),IFERROR(INDEX('設定'!$G$12:$G$31,MATCH(TRIM(E986),'設定'!$J$12:$J$31,0)),""),""))</f>
        <v/>
      </c>
      <c r="K986" s="30">
        <f>IF(AND(ISNUMBER(F986),ISNUMBER(J986)),ROUND(F986*J986,0),IF(ISNUMBER(I986),I986,""))</f>
        <v/>
      </c>
      <c r="L986" s="33" t="n"/>
      <c r="M986" s="34">
        <f>IF(COUNTA(A986:B986,D986:I986,L986)=0,"",IF(B986="","案件番号がありません",IF(ISNA(MATCH(B986,'案件'!$A$6:$A$105,0)),"案件シートに無い番号です",IF(NOT(OR(D986="材料費",D986="労務費",D986="外注費",D986="経費")),"費目を4つから選んでください",IF(K986="",IF(AND(ISNUMBER(F986),NOT(ISNUMBER(J986))),IF(D986="労務費","単価がありません（設定の作業者名と同じ書き方に）","単価がありません"),IF(AND(ISNUMBER(J986),NOT(ISNUMBER(F986))),"数量がありません","金額がありません")),IF(NOT(ISNUMBER(A986)),"日付がありません（月別集計に入りません）",IF(AND(ISNUMBER(F986),ISNUMBER(J986),ISNUMBER(I986)),"数量×単価を使いました（金額の欄は使っていません）","")))))))</f>
        <v/>
      </c>
      <c r="N986" s="91">
        <f>IF(AND(B986&lt;&gt;"",B986='案件カード'!$C$3),COUNTIF($B$5:B986,'案件カード'!$C$3),"")</f>
        <v/>
      </c>
      <c r="O986" s="91">
        <f>IF(ISNUMBER(K986),IF(B986="",K986,IF(AND(ISNUMBER(MATCH(B986,'案件'!$A$6:$A$105,0)),OR(D986="材料費",D986="労務費",D986="外注費",D986="経費")),0,K986)),0)</f>
        <v/>
      </c>
    </row>
    <row r="987" ht="16" customHeight="1">
      <c r="A987" s="35" t="n"/>
      <c r="B987" s="36" t="n"/>
      <c r="C987" s="37">
        <f>IF(B987="","",IFERROR(INDEX('案件'!$B$6:$B$105,MATCH(B987,'案件'!$A$6:$A$105,0))&amp;"","（案件シートに無い番号）"))</f>
        <v/>
      </c>
      <c r="D987" s="36" t="n"/>
      <c r="E987" s="38" t="n"/>
      <c r="F987" s="39" t="n"/>
      <c r="G987" s="36" t="n"/>
      <c r="H987" s="40" t="n"/>
      <c r="I987" s="40" t="n"/>
      <c r="J987" s="41">
        <f>IF(ISNUMBER(H987),H987,IF(AND(D987="労務費",TRIM(E987)&lt;&gt;""),IFERROR(INDEX('設定'!$G$12:$G$31,MATCH(TRIM(E987),'設定'!$J$12:$J$31,0)),""),""))</f>
        <v/>
      </c>
      <c r="K987" s="30">
        <f>IF(AND(ISNUMBER(F987),ISNUMBER(J987)),ROUND(F987*J987,0),IF(ISNUMBER(I987),I987,""))</f>
        <v/>
      </c>
      <c r="L987" s="33" t="n"/>
      <c r="M987" s="34">
        <f>IF(COUNTA(A987:B987,D987:I987,L987)=0,"",IF(B987="","案件番号がありません",IF(ISNA(MATCH(B987,'案件'!$A$6:$A$105,0)),"案件シートに無い番号です",IF(NOT(OR(D987="材料費",D987="労務費",D987="外注費",D987="経費")),"費目を4つから選んでください",IF(K987="",IF(AND(ISNUMBER(F987),NOT(ISNUMBER(J987))),IF(D987="労務費","単価がありません（設定の作業者名と同じ書き方に）","単価がありません"),IF(AND(ISNUMBER(J987),NOT(ISNUMBER(F987))),"数量がありません","金額がありません")),IF(NOT(ISNUMBER(A987)),"日付がありません（月別集計に入りません）",IF(AND(ISNUMBER(F987),ISNUMBER(J987),ISNUMBER(I987)),"数量×単価を使いました（金額の欄は使っていません）","")))))))</f>
        <v/>
      </c>
      <c r="N987" s="91">
        <f>IF(AND(B987&lt;&gt;"",B987='案件カード'!$C$3),COUNTIF($B$5:B987,'案件カード'!$C$3),"")</f>
        <v/>
      </c>
      <c r="O987" s="91">
        <f>IF(ISNUMBER(K987),IF(B987="",K987,IF(AND(ISNUMBER(MATCH(B987,'案件'!$A$6:$A$105,0)),OR(D987="材料費",D987="労務費",D987="外注費",D987="経費")),0,K987)),0)</f>
        <v/>
      </c>
    </row>
    <row r="988" ht="16" customHeight="1">
      <c r="A988" s="35" t="n"/>
      <c r="B988" s="36" t="n"/>
      <c r="C988" s="37">
        <f>IF(B988="","",IFERROR(INDEX('案件'!$B$6:$B$105,MATCH(B988,'案件'!$A$6:$A$105,0))&amp;"","（案件シートに無い番号）"))</f>
        <v/>
      </c>
      <c r="D988" s="36" t="n"/>
      <c r="E988" s="38" t="n"/>
      <c r="F988" s="39" t="n"/>
      <c r="G988" s="36" t="n"/>
      <c r="H988" s="40" t="n"/>
      <c r="I988" s="40" t="n"/>
      <c r="J988" s="41">
        <f>IF(ISNUMBER(H988),H988,IF(AND(D988="労務費",TRIM(E988)&lt;&gt;""),IFERROR(INDEX('設定'!$G$12:$G$31,MATCH(TRIM(E988),'設定'!$J$12:$J$31,0)),""),""))</f>
        <v/>
      </c>
      <c r="K988" s="30">
        <f>IF(AND(ISNUMBER(F988),ISNUMBER(J988)),ROUND(F988*J988,0),IF(ISNUMBER(I988),I988,""))</f>
        <v/>
      </c>
      <c r="L988" s="33" t="n"/>
      <c r="M988" s="34">
        <f>IF(COUNTA(A988:B988,D988:I988,L988)=0,"",IF(B988="","案件番号がありません",IF(ISNA(MATCH(B988,'案件'!$A$6:$A$105,0)),"案件シートに無い番号です",IF(NOT(OR(D988="材料費",D988="労務費",D988="外注費",D988="経費")),"費目を4つから選んでください",IF(K988="",IF(AND(ISNUMBER(F988),NOT(ISNUMBER(J988))),IF(D988="労務費","単価がありません（設定の作業者名と同じ書き方に）","単価がありません"),IF(AND(ISNUMBER(J988),NOT(ISNUMBER(F988))),"数量がありません","金額がありません")),IF(NOT(ISNUMBER(A988)),"日付がありません（月別集計に入りません）",IF(AND(ISNUMBER(F988),ISNUMBER(J988),ISNUMBER(I988)),"数量×単価を使いました（金額の欄は使っていません）","")))))))</f>
        <v/>
      </c>
      <c r="N988" s="91">
        <f>IF(AND(B988&lt;&gt;"",B988='案件カード'!$C$3),COUNTIF($B$5:B988,'案件カード'!$C$3),"")</f>
        <v/>
      </c>
      <c r="O988" s="91">
        <f>IF(ISNUMBER(K988),IF(B988="",K988,IF(AND(ISNUMBER(MATCH(B988,'案件'!$A$6:$A$105,0)),OR(D988="材料費",D988="労務費",D988="外注費",D988="経費")),0,K988)),0)</f>
        <v/>
      </c>
    </row>
    <row r="989" ht="16" customHeight="1">
      <c r="A989" s="35" t="n"/>
      <c r="B989" s="36" t="n"/>
      <c r="C989" s="37">
        <f>IF(B989="","",IFERROR(INDEX('案件'!$B$6:$B$105,MATCH(B989,'案件'!$A$6:$A$105,0))&amp;"","（案件シートに無い番号）"))</f>
        <v/>
      </c>
      <c r="D989" s="36" t="n"/>
      <c r="E989" s="38" t="n"/>
      <c r="F989" s="39" t="n"/>
      <c r="G989" s="36" t="n"/>
      <c r="H989" s="40" t="n"/>
      <c r="I989" s="40" t="n"/>
      <c r="J989" s="41">
        <f>IF(ISNUMBER(H989),H989,IF(AND(D989="労務費",TRIM(E989)&lt;&gt;""),IFERROR(INDEX('設定'!$G$12:$G$31,MATCH(TRIM(E989),'設定'!$J$12:$J$31,0)),""),""))</f>
        <v/>
      </c>
      <c r="K989" s="30">
        <f>IF(AND(ISNUMBER(F989),ISNUMBER(J989)),ROUND(F989*J989,0),IF(ISNUMBER(I989),I989,""))</f>
        <v/>
      </c>
      <c r="L989" s="33" t="n"/>
      <c r="M989" s="34">
        <f>IF(COUNTA(A989:B989,D989:I989,L989)=0,"",IF(B989="","案件番号がありません",IF(ISNA(MATCH(B989,'案件'!$A$6:$A$105,0)),"案件シートに無い番号です",IF(NOT(OR(D989="材料費",D989="労務費",D989="外注費",D989="経費")),"費目を4つから選んでください",IF(K989="",IF(AND(ISNUMBER(F989),NOT(ISNUMBER(J989))),IF(D989="労務費","単価がありません（設定の作業者名と同じ書き方に）","単価がありません"),IF(AND(ISNUMBER(J989),NOT(ISNUMBER(F989))),"数量がありません","金額がありません")),IF(NOT(ISNUMBER(A989)),"日付がありません（月別集計に入りません）",IF(AND(ISNUMBER(F989),ISNUMBER(J989),ISNUMBER(I989)),"数量×単価を使いました（金額の欄は使っていません）","")))))))</f>
        <v/>
      </c>
      <c r="N989" s="91">
        <f>IF(AND(B989&lt;&gt;"",B989='案件カード'!$C$3),COUNTIF($B$5:B989,'案件カード'!$C$3),"")</f>
        <v/>
      </c>
      <c r="O989" s="91">
        <f>IF(ISNUMBER(K989),IF(B989="",K989,IF(AND(ISNUMBER(MATCH(B989,'案件'!$A$6:$A$105,0)),OR(D989="材料費",D989="労務費",D989="外注費",D989="経費")),0,K989)),0)</f>
        <v/>
      </c>
    </row>
    <row r="990" ht="16" customHeight="1">
      <c r="A990" s="35" t="n"/>
      <c r="B990" s="36" t="n"/>
      <c r="C990" s="37">
        <f>IF(B990="","",IFERROR(INDEX('案件'!$B$6:$B$105,MATCH(B990,'案件'!$A$6:$A$105,0))&amp;"","（案件シートに無い番号）"))</f>
        <v/>
      </c>
      <c r="D990" s="36" t="n"/>
      <c r="E990" s="38" t="n"/>
      <c r="F990" s="39" t="n"/>
      <c r="G990" s="36" t="n"/>
      <c r="H990" s="40" t="n"/>
      <c r="I990" s="40" t="n"/>
      <c r="J990" s="41">
        <f>IF(ISNUMBER(H990),H990,IF(AND(D990="労務費",TRIM(E990)&lt;&gt;""),IFERROR(INDEX('設定'!$G$12:$G$31,MATCH(TRIM(E990),'設定'!$J$12:$J$31,0)),""),""))</f>
        <v/>
      </c>
      <c r="K990" s="30">
        <f>IF(AND(ISNUMBER(F990),ISNUMBER(J990)),ROUND(F990*J990,0),IF(ISNUMBER(I990),I990,""))</f>
        <v/>
      </c>
      <c r="L990" s="33" t="n"/>
      <c r="M990" s="34">
        <f>IF(COUNTA(A990:B990,D990:I990,L990)=0,"",IF(B990="","案件番号がありません",IF(ISNA(MATCH(B990,'案件'!$A$6:$A$105,0)),"案件シートに無い番号です",IF(NOT(OR(D990="材料費",D990="労務費",D990="外注費",D990="経費")),"費目を4つから選んでください",IF(K990="",IF(AND(ISNUMBER(F990),NOT(ISNUMBER(J990))),IF(D990="労務費","単価がありません（設定の作業者名と同じ書き方に）","単価がありません"),IF(AND(ISNUMBER(J990),NOT(ISNUMBER(F990))),"数量がありません","金額がありません")),IF(NOT(ISNUMBER(A990)),"日付がありません（月別集計に入りません）",IF(AND(ISNUMBER(F990),ISNUMBER(J990),ISNUMBER(I990)),"数量×単価を使いました（金額の欄は使っていません）","")))))))</f>
        <v/>
      </c>
      <c r="N990" s="91">
        <f>IF(AND(B990&lt;&gt;"",B990='案件カード'!$C$3),COUNTIF($B$5:B990,'案件カード'!$C$3),"")</f>
        <v/>
      </c>
      <c r="O990" s="91">
        <f>IF(ISNUMBER(K990),IF(B990="",K990,IF(AND(ISNUMBER(MATCH(B990,'案件'!$A$6:$A$105,0)),OR(D990="材料費",D990="労務費",D990="外注費",D990="経費")),0,K990)),0)</f>
        <v/>
      </c>
    </row>
    <row r="991" ht="16" customHeight="1">
      <c r="A991" s="35" t="n"/>
      <c r="B991" s="36" t="n"/>
      <c r="C991" s="37">
        <f>IF(B991="","",IFERROR(INDEX('案件'!$B$6:$B$105,MATCH(B991,'案件'!$A$6:$A$105,0))&amp;"","（案件シートに無い番号）"))</f>
        <v/>
      </c>
      <c r="D991" s="36" t="n"/>
      <c r="E991" s="38" t="n"/>
      <c r="F991" s="39" t="n"/>
      <c r="G991" s="36" t="n"/>
      <c r="H991" s="40" t="n"/>
      <c r="I991" s="40" t="n"/>
      <c r="J991" s="41">
        <f>IF(ISNUMBER(H991),H991,IF(AND(D991="労務費",TRIM(E991)&lt;&gt;""),IFERROR(INDEX('設定'!$G$12:$G$31,MATCH(TRIM(E991),'設定'!$J$12:$J$31,0)),""),""))</f>
        <v/>
      </c>
      <c r="K991" s="30">
        <f>IF(AND(ISNUMBER(F991),ISNUMBER(J991)),ROUND(F991*J991,0),IF(ISNUMBER(I991),I991,""))</f>
        <v/>
      </c>
      <c r="L991" s="33" t="n"/>
      <c r="M991" s="34">
        <f>IF(COUNTA(A991:B991,D991:I991,L991)=0,"",IF(B991="","案件番号がありません",IF(ISNA(MATCH(B991,'案件'!$A$6:$A$105,0)),"案件シートに無い番号です",IF(NOT(OR(D991="材料費",D991="労務費",D991="外注費",D991="経費")),"費目を4つから選んでください",IF(K991="",IF(AND(ISNUMBER(F991),NOT(ISNUMBER(J991))),IF(D991="労務費","単価がありません（設定の作業者名と同じ書き方に）","単価がありません"),IF(AND(ISNUMBER(J991),NOT(ISNUMBER(F991))),"数量がありません","金額がありません")),IF(NOT(ISNUMBER(A991)),"日付がありません（月別集計に入りません）",IF(AND(ISNUMBER(F991),ISNUMBER(J991),ISNUMBER(I991)),"数量×単価を使いました（金額の欄は使っていません）","")))))))</f>
        <v/>
      </c>
      <c r="N991" s="91">
        <f>IF(AND(B991&lt;&gt;"",B991='案件カード'!$C$3),COUNTIF($B$5:B991,'案件カード'!$C$3),"")</f>
        <v/>
      </c>
      <c r="O991" s="91">
        <f>IF(ISNUMBER(K991),IF(B991="",K991,IF(AND(ISNUMBER(MATCH(B991,'案件'!$A$6:$A$105,0)),OR(D991="材料費",D991="労務費",D991="外注費",D991="経費")),0,K991)),0)</f>
        <v/>
      </c>
    </row>
    <row r="992" ht="16" customHeight="1">
      <c r="A992" s="35" t="n"/>
      <c r="B992" s="36" t="n"/>
      <c r="C992" s="37">
        <f>IF(B992="","",IFERROR(INDEX('案件'!$B$6:$B$105,MATCH(B992,'案件'!$A$6:$A$105,0))&amp;"","（案件シートに無い番号）"))</f>
        <v/>
      </c>
      <c r="D992" s="36" t="n"/>
      <c r="E992" s="38" t="n"/>
      <c r="F992" s="39" t="n"/>
      <c r="G992" s="36" t="n"/>
      <c r="H992" s="40" t="n"/>
      <c r="I992" s="40" t="n"/>
      <c r="J992" s="41">
        <f>IF(ISNUMBER(H992),H992,IF(AND(D992="労務費",TRIM(E992)&lt;&gt;""),IFERROR(INDEX('設定'!$G$12:$G$31,MATCH(TRIM(E992),'設定'!$J$12:$J$31,0)),""),""))</f>
        <v/>
      </c>
      <c r="K992" s="30">
        <f>IF(AND(ISNUMBER(F992),ISNUMBER(J992)),ROUND(F992*J992,0),IF(ISNUMBER(I992),I992,""))</f>
        <v/>
      </c>
      <c r="L992" s="33" t="n"/>
      <c r="M992" s="34">
        <f>IF(COUNTA(A992:B992,D992:I992,L992)=0,"",IF(B992="","案件番号がありません",IF(ISNA(MATCH(B992,'案件'!$A$6:$A$105,0)),"案件シートに無い番号です",IF(NOT(OR(D992="材料費",D992="労務費",D992="外注費",D992="経費")),"費目を4つから選んでください",IF(K992="",IF(AND(ISNUMBER(F992),NOT(ISNUMBER(J992))),IF(D992="労務費","単価がありません（設定の作業者名と同じ書き方に）","単価がありません"),IF(AND(ISNUMBER(J992),NOT(ISNUMBER(F992))),"数量がありません","金額がありません")),IF(NOT(ISNUMBER(A992)),"日付がありません（月別集計に入りません）",IF(AND(ISNUMBER(F992),ISNUMBER(J992),ISNUMBER(I992)),"数量×単価を使いました（金額の欄は使っていません）","")))))))</f>
        <v/>
      </c>
      <c r="N992" s="91">
        <f>IF(AND(B992&lt;&gt;"",B992='案件カード'!$C$3),COUNTIF($B$5:B992,'案件カード'!$C$3),"")</f>
        <v/>
      </c>
      <c r="O992" s="91">
        <f>IF(ISNUMBER(K992),IF(B992="",K992,IF(AND(ISNUMBER(MATCH(B992,'案件'!$A$6:$A$105,0)),OR(D992="材料費",D992="労務費",D992="外注費",D992="経費")),0,K992)),0)</f>
        <v/>
      </c>
    </row>
    <row r="993" ht="16" customHeight="1">
      <c r="A993" s="35" t="n"/>
      <c r="B993" s="36" t="n"/>
      <c r="C993" s="37">
        <f>IF(B993="","",IFERROR(INDEX('案件'!$B$6:$B$105,MATCH(B993,'案件'!$A$6:$A$105,0))&amp;"","（案件シートに無い番号）"))</f>
        <v/>
      </c>
      <c r="D993" s="36" t="n"/>
      <c r="E993" s="38" t="n"/>
      <c r="F993" s="39" t="n"/>
      <c r="G993" s="36" t="n"/>
      <c r="H993" s="40" t="n"/>
      <c r="I993" s="40" t="n"/>
      <c r="J993" s="41">
        <f>IF(ISNUMBER(H993),H993,IF(AND(D993="労務費",TRIM(E993)&lt;&gt;""),IFERROR(INDEX('設定'!$G$12:$G$31,MATCH(TRIM(E993),'設定'!$J$12:$J$31,0)),""),""))</f>
        <v/>
      </c>
      <c r="K993" s="30">
        <f>IF(AND(ISNUMBER(F993),ISNUMBER(J993)),ROUND(F993*J993,0),IF(ISNUMBER(I993),I993,""))</f>
        <v/>
      </c>
      <c r="L993" s="33" t="n"/>
      <c r="M993" s="34">
        <f>IF(COUNTA(A993:B993,D993:I993,L993)=0,"",IF(B993="","案件番号がありません",IF(ISNA(MATCH(B993,'案件'!$A$6:$A$105,0)),"案件シートに無い番号です",IF(NOT(OR(D993="材料費",D993="労務費",D993="外注費",D993="経費")),"費目を4つから選んでください",IF(K993="",IF(AND(ISNUMBER(F993),NOT(ISNUMBER(J993))),IF(D993="労務費","単価がありません（設定の作業者名と同じ書き方に）","単価がありません"),IF(AND(ISNUMBER(J993),NOT(ISNUMBER(F993))),"数量がありません","金額がありません")),IF(NOT(ISNUMBER(A993)),"日付がありません（月別集計に入りません）",IF(AND(ISNUMBER(F993),ISNUMBER(J993),ISNUMBER(I993)),"数量×単価を使いました（金額の欄は使っていません）","")))))))</f>
        <v/>
      </c>
      <c r="N993" s="91">
        <f>IF(AND(B993&lt;&gt;"",B993='案件カード'!$C$3),COUNTIF($B$5:B993,'案件カード'!$C$3),"")</f>
        <v/>
      </c>
      <c r="O993" s="91">
        <f>IF(ISNUMBER(K993),IF(B993="",K993,IF(AND(ISNUMBER(MATCH(B993,'案件'!$A$6:$A$105,0)),OR(D993="材料費",D993="労務費",D993="外注費",D993="経費")),0,K993)),0)</f>
        <v/>
      </c>
    </row>
    <row r="994" ht="16" customHeight="1">
      <c r="A994" s="35" t="n"/>
      <c r="B994" s="36" t="n"/>
      <c r="C994" s="37">
        <f>IF(B994="","",IFERROR(INDEX('案件'!$B$6:$B$105,MATCH(B994,'案件'!$A$6:$A$105,0))&amp;"","（案件シートに無い番号）"))</f>
        <v/>
      </c>
      <c r="D994" s="36" t="n"/>
      <c r="E994" s="38" t="n"/>
      <c r="F994" s="39" t="n"/>
      <c r="G994" s="36" t="n"/>
      <c r="H994" s="40" t="n"/>
      <c r="I994" s="40" t="n"/>
      <c r="J994" s="41">
        <f>IF(ISNUMBER(H994),H994,IF(AND(D994="労務費",TRIM(E994)&lt;&gt;""),IFERROR(INDEX('設定'!$G$12:$G$31,MATCH(TRIM(E994),'設定'!$J$12:$J$31,0)),""),""))</f>
        <v/>
      </c>
      <c r="K994" s="30">
        <f>IF(AND(ISNUMBER(F994),ISNUMBER(J994)),ROUND(F994*J994,0),IF(ISNUMBER(I994),I994,""))</f>
        <v/>
      </c>
      <c r="L994" s="33" t="n"/>
      <c r="M994" s="34">
        <f>IF(COUNTA(A994:B994,D994:I994,L994)=0,"",IF(B994="","案件番号がありません",IF(ISNA(MATCH(B994,'案件'!$A$6:$A$105,0)),"案件シートに無い番号です",IF(NOT(OR(D994="材料費",D994="労務費",D994="外注費",D994="経費")),"費目を4つから選んでください",IF(K994="",IF(AND(ISNUMBER(F994),NOT(ISNUMBER(J994))),IF(D994="労務費","単価がありません（設定の作業者名と同じ書き方に）","単価がありません"),IF(AND(ISNUMBER(J994),NOT(ISNUMBER(F994))),"数量がありません","金額がありません")),IF(NOT(ISNUMBER(A994)),"日付がありません（月別集計に入りません）",IF(AND(ISNUMBER(F994),ISNUMBER(J994),ISNUMBER(I994)),"数量×単価を使いました（金額の欄は使っていません）","")))))))</f>
        <v/>
      </c>
      <c r="N994" s="91">
        <f>IF(AND(B994&lt;&gt;"",B994='案件カード'!$C$3),COUNTIF($B$5:B994,'案件カード'!$C$3),"")</f>
        <v/>
      </c>
      <c r="O994" s="91">
        <f>IF(ISNUMBER(K994),IF(B994="",K994,IF(AND(ISNUMBER(MATCH(B994,'案件'!$A$6:$A$105,0)),OR(D994="材料費",D994="労務費",D994="外注費",D994="経費")),0,K994)),0)</f>
        <v/>
      </c>
    </row>
    <row r="995" ht="16" customHeight="1">
      <c r="A995" s="35" t="n"/>
      <c r="B995" s="36" t="n"/>
      <c r="C995" s="37">
        <f>IF(B995="","",IFERROR(INDEX('案件'!$B$6:$B$105,MATCH(B995,'案件'!$A$6:$A$105,0))&amp;"","（案件シートに無い番号）"))</f>
        <v/>
      </c>
      <c r="D995" s="36" t="n"/>
      <c r="E995" s="38" t="n"/>
      <c r="F995" s="39" t="n"/>
      <c r="G995" s="36" t="n"/>
      <c r="H995" s="40" t="n"/>
      <c r="I995" s="40" t="n"/>
      <c r="J995" s="41">
        <f>IF(ISNUMBER(H995),H995,IF(AND(D995="労務費",TRIM(E995)&lt;&gt;""),IFERROR(INDEX('設定'!$G$12:$G$31,MATCH(TRIM(E995),'設定'!$J$12:$J$31,0)),""),""))</f>
        <v/>
      </c>
      <c r="K995" s="30">
        <f>IF(AND(ISNUMBER(F995),ISNUMBER(J995)),ROUND(F995*J995,0),IF(ISNUMBER(I995),I995,""))</f>
        <v/>
      </c>
      <c r="L995" s="33" t="n"/>
      <c r="M995" s="34">
        <f>IF(COUNTA(A995:B995,D995:I995,L995)=0,"",IF(B995="","案件番号がありません",IF(ISNA(MATCH(B995,'案件'!$A$6:$A$105,0)),"案件シートに無い番号です",IF(NOT(OR(D995="材料費",D995="労務費",D995="外注費",D995="経費")),"費目を4つから選んでください",IF(K995="",IF(AND(ISNUMBER(F995),NOT(ISNUMBER(J995))),IF(D995="労務費","単価がありません（設定の作業者名と同じ書き方に）","単価がありません"),IF(AND(ISNUMBER(J995),NOT(ISNUMBER(F995))),"数量がありません","金額がありません")),IF(NOT(ISNUMBER(A995)),"日付がありません（月別集計に入りません）",IF(AND(ISNUMBER(F995),ISNUMBER(J995),ISNUMBER(I995)),"数量×単価を使いました（金額の欄は使っていません）","")))))))</f>
        <v/>
      </c>
      <c r="N995" s="91">
        <f>IF(AND(B995&lt;&gt;"",B995='案件カード'!$C$3),COUNTIF($B$5:B995,'案件カード'!$C$3),"")</f>
        <v/>
      </c>
      <c r="O995" s="91">
        <f>IF(ISNUMBER(K995),IF(B995="",K995,IF(AND(ISNUMBER(MATCH(B995,'案件'!$A$6:$A$105,0)),OR(D995="材料費",D995="労務費",D995="外注費",D995="経費")),0,K995)),0)</f>
        <v/>
      </c>
    </row>
    <row r="996" ht="16" customHeight="1">
      <c r="A996" s="35" t="n"/>
      <c r="B996" s="36" t="n"/>
      <c r="C996" s="37">
        <f>IF(B996="","",IFERROR(INDEX('案件'!$B$6:$B$105,MATCH(B996,'案件'!$A$6:$A$105,0))&amp;"","（案件シートに無い番号）"))</f>
        <v/>
      </c>
      <c r="D996" s="36" t="n"/>
      <c r="E996" s="38" t="n"/>
      <c r="F996" s="39" t="n"/>
      <c r="G996" s="36" t="n"/>
      <c r="H996" s="40" t="n"/>
      <c r="I996" s="40" t="n"/>
      <c r="J996" s="41">
        <f>IF(ISNUMBER(H996),H996,IF(AND(D996="労務費",TRIM(E996)&lt;&gt;""),IFERROR(INDEX('設定'!$G$12:$G$31,MATCH(TRIM(E996),'設定'!$J$12:$J$31,0)),""),""))</f>
        <v/>
      </c>
      <c r="K996" s="30">
        <f>IF(AND(ISNUMBER(F996),ISNUMBER(J996)),ROUND(F996*J996,0),IF(ISNUMBER(I996),I996,""))</f>
        <v/>
      </c>
      <c r="L996" s="33" t="n"/>
      <c r="M996" s="34">
        <f>IF(COUNTA(A996:B996,D996:I996,L996)=0,"",IF(B996="","案件番号がありません",IF(ISNA(MATCH(B996,'案件'!$A$6:$A$105,0)),"案件シートに無い番号です",IF(NOT(OR(D996="材料費",D996="労務費",D996="外注費",D996="経費")),"費目を4つから選んでください",IF(K996="",IF(AND(ISNUMBER(F996),NOT(ISNUMBER(J996))),IF(D996="労務費","単価がありません（設定の作業者名と同じ書き方に）","単価がありません"),IF(AND(ISNUMBER(J996),NOT(ISNUMBER(F996))),"数量がありません","金額がありません")),IF(NOT(ISNUMBER(A996)),"日付がありません（月別集計に入りません）",IF(AND(ISNUMBER(F996),ISNUMBER(J996),ISNUMBER(I996)),"数量×単価を使いました（金額の欄は使っていません）","")))))))</f>
        <v/>
      </c>
      <c r="N996" s="91">
        <f>IF(AND(B996&lt;&gt;"",B996='案件カード'!$C$3),COUNTIF($B$5:B996,'案件カード'!$C$3),"")</f>
        <v/>
      </c>
      <c r="O996" s="91">
        <f>IF(ISNUMBER(K996),IF(B996="",K996,IF(AND(ISNUMBER(MATCH(B996,'案件'!$A$6:$A$105,0)),OR(D996="材料費",D996="労務費",D996="外注費",D996="経費")),0,K996)),0)</f>
        <v/>
      </c>
    </row>
    <row r="997" ht="16" customHeight="1">
      <c r="A997" s="35" t="n"/>
      <c r="B997" s="36" t="n"/>
      <c r="C997" s="37">
        <f>IF(B997="","",IFERROR(INDEX('案件'!$B$6:$B$105,MATCH(B997,'案件'!$A$6:$A$105,0))&amp;"","（案件シートに無い番号）"))</f>
        <v/>
      </c>
      <c r="D997" s="36" t="n"/>
      <c r="E997" s="38" t="n"/>
      <c r="F997" s="39" t="n"/>
      <c r="G997" s="36" t="n"/>
      <c r="H997" s="40" t="n"/>
      <c r="I997" s="40" t="n"/>
      <c r="J997" s="41">
        <f>IF(ISNUMBER(H997),H997,IF(AND(D997="労務費",TRIM(E997)&lt;&gt;""),IFERROR(INDEX('設定'!$G$12:$G$31,MATCH(TRIM(E997),'設定'!$J$12:$J$31,0)),""),""))</f>
        <v/>
      </c>
      <c r="K997" s="30">
        <f>IF(AND(ISNUMBER(F997),ISNUMBER(J997)),ROUND(F997*J997,0),IF(ISNUMBER(I997),I997,""))</f>
        <v/>
      </c>
      <c r="L997" s="33" t="n"/>
      <c r="M997" s="34">
        <f>IF(COUNTA(A997:B997,D997:I997,L997)=0,"",IF(B997="","案件番号がありません",IF(ISNA(MATCH(B997,'案件'!$A$6:$A$105,0)),"案件シートに無い番号です",IF(NOT(OR(D997="材料費",D997="労務費",D997="外注費",D997="経費")),"費目を4つから選んでください",IF(K997="",IF(AND(ISNUMBER(F997),NOT(ISNUMBER(J997))),IF(D997="労務費","単価がありません（設定の作業者名と同じ書き方に）","単価がありません"),IF(AND(ISNUMBER(J997),NOT(ISNUMBER(F997))),"数量がありません","金額がありません")),IF(NOT(ISNUMBER(A997)),"日付がありません（月別集計に入りません）",IF(AND(ISNUMBER(F997),ISNUMBER(J997),ISNUMBER(I997)),"数量×単価を使いました（金額の欄は使っていません）","")))))))</f>
        <v/>
      </c>
      <c r="N997" s="91">
        <f>IF(AND(B997&lt;&gt;"",B997='案件カード'!$C$3),COUNTIF($B$5:B997,'案件カード'!$C$3),"")</f>
        <v/>
      </c>
      <c r="O997" s="91">
        <f>IF(ISNUMBER(K997),IF(B997="",K997,IF(AND(ISNUMBER(MATCH(B997,'案件'!$A$6:$A$105,0)),OR(D997="材料費",D997="労務費",D997="外注費",D997="経費")),0,K997)),0)</f>
        <v/>
      </c>
    </row>
    <row r="998" ht="16" customHeight="1">
      <c r="A998" s="35" t="n"/>
      <c r="B998" s="36" t="n"/>
      <c r="C998" s="37">
        <f>IF(B998="","",IFERROR(INDEX('案件'!$B$6:$B$105,MATCH(B998,'案件'!$A$6:$A$105,0))&amp;"","（案件シートに無い番号）"))</f>
        <v/>
      </c>
      <c r="D998" s="36" t="n"/>
      <c r="E998" s="38" t="n"/>
      <c r="F998" s="39" t="n"/>
      <c r="G998" s="36" t="n"/>
      <c r="H998" s="40" t="n"/>
      <c r="I998" s="40" t="n"/>
      <c r="J998" s="41">
        <f>IF(ISNUMBER(H998),H998,IF(AND(D998="労務費",TRIM(E998)&lt;&gt;""),IFERROR(INDEX('設定'!$G$12:$G$31,MATCH(TRIM(E998),'設定'!$J$12:$J$31,0)),""),""))</f>
        <v/>
      </c>
      <c r="K998" s="30">
        <f>IF(AND(ISNUMBER(F998),ISNUMBER(J998)),ROUND(F998*J998,0),IF(ISNUMBER(I998),I998,""))</f>
        <v/>
      </c>
      <c r="L998" s="33" t="n"/>
      <c r="M998" s="34">
        <f>IF(COUNTA(A998:B998,D998:I998,L998)=0,"",IF(B998="","案件番号がありません",IF(ISNA(MATCH(B998,'案件'!$A$6:$A$105,0)),"案件シートに無い番号です",IF(NOT(OR(D998="材料費",D998="労務費",D998="外注費",D998="経費")),"費目を4つから選んでください",IF(K998="",IF(AND(ISNUMBER(F998),NOT(ISNUMBER(J998))),IF(D998="労務費","単価がありません（設定の作業者名と同じ書き方に）","単価がありません"),IF(AND(ISNUMBER(J998),NOT(ISNUMBER(F998))),"数量がありません","金額がありません")),IF(NOT(ISNUMBER(A998)),"日付がありません（月別集計に入りません）",IF(AND(ISNUMBER(F998),ISNUMBER(J998),ISNUMBER(I998)),"数量×単価を使いました（金額の欄は使っていません）","")))))))</f>
        <v/>
      </c>
      <c r="N998" s="91">
        <f>IF(AND(B998&lt;&gt;"",B998='案件カード'!$C$3),COUNTIF($B$5:B998,'案件カード'!$C$3),"")</f>
        <v/>
      </c>
      <c r="O998" s="91">
        <f>IF(ISNUMBER(K998),IF(B998="",K998,IF(AND(ISNUMBER(MATCH(B998,'案件'!$A$6:$A$105,0)),OR(D998="材料費",D998="労務費",D998="外注費",D998="経費")),0,K998)),0)</f>
        <v/>
      </c>
    </row>
    <row r="999" ht="16" customHeight="1">
      <c r="A999" s="35" t="n"/>
      <c r="B999" s="36" t="n"/>
      <c r="C999" s="37">
        <f>IF(B999="","",IFERROR(INDEX('案件'!$B$6:$B$105,MATCH(B999,'案件'!$A$6:$A$105,0))&amp;"","（案件シートに無い番号）"))</f>
        <v/>
      </c>
      <c r="D999" s="36" t="n"/>
      <c r="E999" s="38" t="n"/>
      <c r="F999" s="39" t="n"/>
      <c r="G999" s="36" t="n"/>
      <c r="H999" s="40" t="n"/>
      <c r="I999" s="40" t="n"/>
      <c r="J999" s="41">
        <f>IF(ISNUMBER(H999),H999,IF(AND(D999="労務費",TRIM(E999)&lt;&gt;""),IFERROR(INDEX('設定'!$G$12:$G$31,MATCH(TRIM(E999),'設定'!$J$12:$J$31,0)),""),""))</f>
        <v/>
      </c>
      <c r="K999" s="30">
        <f>IF(AND(ISNUMBER(F999),ISNUMBER(J999)),ROUND(F999*J999,0),IF(ISNUMBER(I999),I999,""))</f>
        <v/>
      </c>
      <c r="L999" s="33" t="n"/>
      <c r="M999" s="34">
        <f>IF(COUNTA(A999:B999,D999:I999,L999)=0,"",IF(B999="","案件番号がありません",IF(ISNA(MATCH(B999,'案件'!$A$6:$A$105,0)),"案件シートに無い番号です",IF(NOT(OR(D999="材料費",D999="労務費",D999="外注費",D999="経費")),"費目を4つから選んでください",IF(K999="",IF(AND(ISNUMBER(F999),NOT(ISNUMBER(J999))),IF(D999="労務費","単価がありません（設定の作業者名と同じ書き方に）","単価がありません"),IF(AND(ISNUMBER(J999),NOT(ISNUMBER(F999))),"数量がありません","金額がありません")),IF(NOT(ISNUMBER(A999)),"日付がありません（月別集計に入りません）",IF(AND(ISNUMBER(F999),ISNUMBER(J999),ISNUMBER(I999)),"数量×単価を使いました（金額の欄は使っていません）","")))))))</f>
        <v/>
      </c>
      <c r="N999" s="91">
        <f>IF(AND(B999&lt;&gt;"",B999='案件カード'!$C$3),COUNTIF($B$5:B999,'案件カード'!$C$3),"")</f>
        <v/>
      </c>
      <c r="O999" s="91">
        <f>IF(ISNUMBER(K999),IF(B999="",K999,IF(AND(ISNUMBER(MATCH(B999,'案件'!$A$6:$A$105,0)),OR(D999="材料費",D999="労務費",D999="外注費",D999="経費")),0,K999)),0)</f>
        <v/>
      </c>
    </row>
    <row r="1000" ht="16" customHeight="1">
      <c r="A1000" s="35" t="n"/>
      <c r="B1000" s="36" t="n"/>
      <c r="C1000" s="37">
        <f>IF(B1000="","",IFERROR(INDEX('案件'!$B$6:$B$105,MATCH(B1000,'案件'!$A$6:$A$105,0))&amp;"","（案件シートに無い番号）"))</f>
        <v/>
      </c>
      <c r="D1000" s="36" t="n"/>
      <c r="E1000" s="38" t="n"/>
      <c r="F1000" s="39" t="n"/>
      <c r="G1000" s="36" t="n"/>
      <c r="H1000" s="40" t="n"/>
      <c r="I1000" s="40" t="n"/>
      <c r="J1000" s="41">
        <f>IF(ISNUMBER(H1000),H1000,IF(AND(D1000="労務費",TRIM(E1000)&lt;&gt;""),IFERROR(INDEX('設定'!$G$12:$G$31,MATCH(TRIM(E1000),'設定'!$J$12:$J$31,0)),""),""))</f>
        <v/>
      </c>
      <c r="K1000" s="30">
        <f>IF(AND(ISNUMBER(F1000),ISNUMBER(J1000)),ROUND(F1000*J1000,0),IF(ISNUMBER(I1000),I1000,""))</f>
        <v/>
      </c>
      <c r="L1000" s="33" t="n"/>
      <c r="M1000" s="34">
        <f>IF(COUNTA(A1000:B1000,D1000:I1000,L1000)=0,"",IF(B1000="","案件番号がありません",IF(ISNA(MATCH(B1000,'案件'!$A$6:$A$105,0)),"案件シートに無い番号です",IF(NOT(OR(D1000="材料費",D1000="労務費",D1000="外注費",D1000="経費")),"費目を4つから選んでください",IF(K1000="",IF(AND(ISNUMBER(F1000),NOT(ISNUMBER(J1000))),IF(D1000="労務費","単価がありません（設定の作業者名と同じ書き方に）","単価がありません"),IF(AND(ISNUMBER(J1000),NOT(ISNUMBER(F1000))),"数量がありません","金額がありません")),IF(NOT(ISNUMBER(A1000)),"日付がありません（月別集計に入りません）",IF(AND(ISNUMBER(F1000),ISNUMBER(J1000),ISNUMBER(I1000)),"数量×単価を使いました（金額の欄は使っていません）","")))))))</f>
        <v/>
      </c>
      <c r="N1000" s="91">
        <f>IF(AND(B1000&lt;&gt;"",B1000='案件カード'!$C$3),COUNTIF($B$5:B1000,'案件カード'!$C$3),"")</f>
        <v/>
      </c>
      <c r="O1000" s="91">
        <f>IF(ISNUMBER(K1000),IF(B1000="",K1000,IF(AND(ISNUMBER(MATCH(B1000,'案件'!$A$6:$A$105,0)),OR(D1000="材料費",D1000="労務費",D1000="外注費",D1000="経費")),0,K1000)),0)</f>
        <v/>
      </c>
    </row>
    <row r="1001" ht="16" customHeight="1">
      <c r="A1001" s="35" t="n"/>
      <c r="B1001" s="36" t="n"/>
      <c r="C1001" s="37">
        <f>IF(B1001="","",IFERROR(INDEX('案件'!$B$6:$B$105,MATCH(B1001,'案件'!$A$6:$A$105,0))&amp;"","（案件シートに無い番号）"))</f>
        <v/>
      </c>
      <c r="D1001" s="36" t="n"/>
      <c r="E1001" s="38" t="n"/>
      <c r="F1001" s="39" t="n"/>
      <c r="G1001" s="36" t="n"/>
      <c r="H1001" s="40" t="n"/>
      <c r="I1001" s="40" t="n"/>
      <c r="J1001" s="41">
        <f>IF(ISNUMBER(H1001),H1001,IF(AND(D1001="労務費",TRIM(E1001)&lt;&gt;""),IFERROR(INDEX('設定'!$G$12:$G$31,MATCH(TRIM(E1001),'設定'!$J$12:$J$31,0)),""),""))</f>
        <v/>
      </c>
      <c r="K1001" s="30">
        <f>IF(AND(ISNUMBER(F1001),ISNUMBER(J1001)),ROUND(F1001*J1001,0),IF(ISNUMBER(I1001),I1001,""))</f>
        <v/>
      </c>
      <c r="L1001" s="33" t="n"/>
      <c r="M1001" s="34">
        <f>IF(COUNTA(A1001:B1001,D1001:I1001,L1001)=0,"",IF(B1001="","案件番号がありません",IF(ISNA(MATCH(B1001,'案件'!$A$6:$A$105,0)),"案件シートに無い番号です",IF(NOT(OR(D1001="材料費",D1001="労務費",D1001="外注費",D1001="経費")),"費目を4つから選んでください",IF(K1001="",IF(AND(ISNUMBER(F1001),NOT(ISNUMBER(J1001))),IF(D1001="労務費","単価がありません（設定の作業者名と同じ書き方に）","単価がありません"),IF(AND(ISNUMBER(J1001),NOT(ISNUMBER(F1001))),"数量がありません","金額がありません")),IF(NOT(ISNUMBER(A1001)),"日付がありません（月別集計に入りません）",IF(AND(ISNUMBER(F1001),ISNUMBER(J1001),ISNUMBER(I1001)),"数量×単価を使いました（金額の欄は使っていません）","")))))))</f>
        <v/>
      </c>
      <c r="N1001" s="91">
        <f>IF(AND(B1001&lt;&gt;"",B1001='案件カード'!$C$3),COUNTIF($B$5:B1001,'案件カード'!$C$3),"")</f>
        <v/>
      </c>
      <c r="O1001" s="91">
        <f>IF(ISNUMBER(K1001),IF(B1001="",K1001,IF(AND(ISNUMBER(MATCH(B1001,'案件'!$A$6:$A$105,0)),OR(D1001="材料費",D1001="労務費",D1001="外注費",D1001="経費")),0,K1001)),0)</f>
        <v/>
      </c>
    </row>
    <row r="1002" ht="16" customHeight="1">
      <c r="A1002" s="35" t="n"/>
      <c r="B1002" s="36" t="n"/>
      <c r="C1002" s="37">
        <f>IF(B1002="","",IFERROR(INDEX('案件'!$B$6:$B$105,MATCH(B1002,'案件'!$A$6:$A$105,0))&amp;"","（案件シートに無い番号）"))</f>
        <v/>
      </c>
      <c r="D1002" s="36" t="n"/>
      <c r="E1002" s="38" t="n"/>
      <c r="F1002" s="39" t="n"/>
      <c r="G1002" s="36" t="n"/>
      <c r="H1002" s="40" t="n"/>
      <c r="I1002" s="40" t="n"/>
      <c r="J1002" s="41">
        <f>IF(ISNUMBER(H1002),H1002,IF(AND(D1002="労務費",TRIM(E1002)&lt;&gt;""),IFERROR(INDEX('設定'!$G$12:$G$31,MATCH(TRIM(E1002),'設定'!$J$12:$J$31,0)),""),""))</f>
        <v/>
      </c>
      <c r="K1002" s="30">
        <f>IF(AND(ISNUMBER(F1002),ISNUMBER(J1002)),ROUND(F1002*J1002,0),IF(ISNUMBER(I1002),I1002,""))</f>
        <v/>
      </c>
      <c r="L1002" s="33" t="n"/>
      <c r="M1002" s="34">
        <f>IF(COUNTA(A1002:B1002,D1002:I1002,L1002)=0,"",IF(B1002="","案件番号がありません",IF(ISNA(MATCH(B1002,'案件'!$A$6:$A$105,0)),"案件シートに無い番号です",IF(NOT(OR(D1002="材料費",D1002="労務費",D1002="外注費",D1002="経費")),"費目を4つから選んでください",IF(K1002="",IF(AND(ISNUMBER(F1002),NOT(ISNUMBER(J1002))),IF(D1002="労務費","単価がありません（設定の作業者名と同じ書き方に）","単価がありません"),IF(AND(ISNUMBER(J1002),NOT(ISNUMBER(F1002))),"数量がありません","金額がありません")),IF(NOT(ISNUMBER(A1002)),"日付がありません（月別集計に入りません）",IF(AND(ISNUMBER(F1002),ISNUMBER(J1002),ISNUMBER(I1002)),"数量×単価を使いました（金額の欄は使っていません）","")))))))</f>
        <v/>
      </c>
      <c r="N1002" s="91">
        <f>IF(AND(B1002&lt;&gt;"",B1002='案件カード'!$C$3),COUNTIF($B$5:B1002,'案件カード'!$C$3),"")</f>
        <v/>
      </c>
      <c r="O1002" s="91">
        <f>IF(ISNUMBER(K1002),IF(B1002="",K1002,IF(AND(ISNUMBER(MATCH(B1002,'案件'!$A$6:$A$105,0)),OR(D1002="材料費",D1002="労務費",D1002="外注費",D1002="経費")),0,K1002)),0)</f>
        <v/>
      </c>
    </row>
    <row r="1003" ht="16" customHeight="1">
      <c r="A1003" s="35" t="n"/>
      <c r="B1003" s="36" t="n"/>
      <c r="C1003" s="37">
        <f>IF(B1003="","",IFERROR(INDEX('案件'!$B$6:$B$105,MATCH(B1003,'案件'!$A$6:$A$105,0))&amp;"","（案件シートに無い番号）"))</f>
        <v/>
      </c>
      <c r="D1003" s="36" t="n"/>
      <c r="E1003" s="38" t="n"/>
      <c r="F1003" s="39" t="n"/>
      <c r="G1003" s="36" t="n"/>
      <c r="H1003" s="40" t="n"/>
      <c r="I1003" s="40" t="n"/>
      <c r="J1003" s="41">
        <f>IF(ISNUMBER(H1003),H1003,IF(AND(D1003="労務費",TRIM(E1003)&lt;&gt;""),IFERROR(INDEX('設定'!$G$12:$G$31,MATCH(TRIM(E1003),'設定'!$J$12:$J$31,0)),""),""))</f>
        <v/>
      </c>
      <c r="K1003" s="30">
        <f>IF(AND(ISNUMBER(F1003),ISNUMBER(J1003)),ROUND(F1003*J1003,0),IF(ISNUMBER(I1003),I1003,""))</f>
        <v/>
      </c>
      <c r="L1003" s="33" t="n"/>
      <c r="M1003" s="34">
        <f>IF(COUNTA(A1003:B1003,D1003:I1003,L1003)=0,"",IF(B1003="","案件番号がありません",IF(ISNA(MATCH(B1003,'案件'!$A$6:$A$105,0)),"案件シートに無い番号です",IF(NOT(OR(D1003="材料費",D1003="労務費",D1003="外注費",D1003="経費")),"費目を4つから選んでください",IF(K1003="",IF(AND(ISNUMBER(F1003),NOT(ISNUMBER(J1003))),IF(D1003="労務費","単価がありません（設定の作業者名と同じ書き方に）","単価がありません"),IF(AND(ISNUMBER(J1003),NOT(ISNUMBER(F1003))),"数量がありません","金額がありません")),IF(NOT(ISNUMBER(A1003)),"日付がありません（月別集計に入りません）",IF(AND(ISNUMBER(F1003),ISNUMBER(J1003),ISNUMBER(I1003)),"数量×単価を使いました（金額の欄は使っていません）","")))))))</f>
        <v/>
      </c>
      <c r="N1003" s="91">
        <f>IF(AND(B1003&lt;&gt;"",B1003='案件カード'!$C$3),COUNTIF($B$5:B1003,'案件カード'!$C$3),"")</f>
        <v/>
      </c>
      <c r="O1003" s="91">
        <f>IF(ISNUMBER(K1003),IF(B1003="",K1003,IF(AND(ISNUMBER(MATCH(B1003,'案件'!$A$6:$A$105,0)),OR(D1003="材料費",D1003="労務費",D1003="外注費",D1003="経費")),0,K1003)),0)</f>
        <v/>
      </c>
    </row>
    <row r="1004" ht="16" customHeight="1">
      <c r="A1004" s="35" t="n"/>
      <c r="B1004" s="36" t="n"/>
      <c r="C1004" s="37">
        <f>IF(B1004="","",IFERROR(INDEX('案件'!$B$6:$B$105,MATCH(B1004,'案件'!$A$6:$A$105,0))&amp;"","（案件シートに無い番号）"))</f>
        <v/>
      </c>
      <c r="D1004" s="36" t="n"/>
      <c r="E1004" s="38" t="n"/>
      <c r="F1004" s="39" t="n"/>
      <c r="G1004" s="36" t="n"/>
      <c r="H1004" s="40" t="n"/>
      <c r="I1004" s="40" t="n"/>
      <c r="J1004" s="41">
        <f>IF(ISNUMBER(H1004),H1004,IF(AND(D1004="労務費",TRIM(E1004)&lt;&gt;""),IFERROR(INDEX('設定'!$G$12:$G$31,MATCH(TRIM(E1004),'設定'!$J$12:$J$31,0)),""),""))</f>
        <v/>
      </c>
      <c r="K1004" s="30">
        <f>IF(AND(ISNUMBER(F1004),ISNUMBER(J1004)),ROUND(F1004*J1004,0),IF(ISNUMBER(I1004),I1004,""))</f>
        <v/>
      </c>
      <c r="L1004" s="33" t="n"/>
      <c r="M1004" s="34">
        <f>IF(COUNTA(A1004:B1004,D1004:I1004,L1004)=0,"",IF(B1004="","案件番号がありません",IF(ISNA(MATCH(B1004,'案件'!$A$6:$A$105,0)),"案件シートに無い番号です",IF(NOT(OR(D1004="材料費",D1004="労務費",D1004="外注費",D1004="経費")),"費目を4つから選んでください",IF(K1004="",IF(AND(ISNUMBER(F1004),NOT(ISNUMBER(J1004))),IF(D1004="労務費","単価がありません（設定の作業者名と同じ書き方に）","単価がありません"),IF(AND(ISNUMBER(J1004),NOT(ISNUMBER(F1004))),"数量がありません","金額がありません")),IF(NOT(ISNUMBER(A1004)),"日付がありません（月別集計に入りません）",IF(AND(ISNUMBER(F1004),ISNUMBER(J1004),ISNUMBER(I1004)),"数量×単価を使いました（金額の欄は使っていません）","")))))))</f>
        <v/>
      </c>
      <c r="N1004" s="91">
        <f>IF(AND(B1004&lt;&gt;"",B1004='案件カード'!$C$3),COUNTIF($B$5:B1004,'案件カード'!$C$3),"")</f>
        <v/>
      </c>
      <c r="O1004" s="91">
        <f>IF(ISNUMBER(K1004),IF(B1004="",K1004,IF(AND(ISNUMBER(MATCH(B1004,'案件'!$A$6:$A$105,0)),OR(D1004="材料費",D1004="労務費",D1004="外注費",D1004="経費")),0,K1004)),0)</f>
        <v/>
      </c>
    </row>
    <row r="1005" ht="16" customHeight="1">
      <c r="A1005" s="35" t="n"/>
      <c r="B1005" s="36" t="n"/>
      <c r="C1005" s="37">
        <f>IF(B1005="","",IFERROR(INDEX('案件'!$B$6:$B$105,MATCH(B1005,'案件'!$A$6:$A$105,0))&amp;"","（案件シートに無い番号）"))</f>
        <v/>
      </c>
      <c r="D1005" s="36" t="n"/>
      <c r="E1005" s="38" t="n"/>
      <c r="F1005" s="39" t="n"/>
      <c r="G1005" s="36" t="n"/>
      <c r="H1005" s="40" t="n"/>
      <c r="I1005" s="40" t="n"/>
      <c r="J1005" s="41">
        <f>IF(ISNUMBER(H1005),H1005,IF(AND(D1005="労務費",TRIM(E1005)&lt;&gt;""),IFERROR(INDEX('設定'!$G$12:$G$31,MATCH(TRIM(E1005),'設定'!$J$12:$J$31,0)),""),""))</f>
        <v/>
      </c>
      <c r="K1005" s="30">
        <f>IF(AND(ISNUMBER(F1005),ISNUMBER(J1005)),ROUND(F1005*J1005,0),IF(ISNUMBER(I1005),I1005,""))</f>
        <v/>
      </c>
      <c r="L1005" s="33" t="n"/>
      <c r="M1005" s="34">
        <f>IF(COUNTA(A1005:B1005,D1005:I1005,L1005)=0,"",IF(B1005="","案件番号がありません",IF(ISNA(MATCH(B1005,'案件'!$A$6:$A$105,0)),"案件シートに無い番号です",IF(NOT(OR(D1005="材料費",D1005="労務費",D1005="外注費",D1005="経費")),"費目を4つから選んでください",IF(K1005="",IF(AND(ISNUMBER(F1005),NOT(ISNUMBER(J1005))),IF(D1005="労務費","単価がありません（設定の作業者名と同じ書き方に）","単価がありません"),IF(AND(ISNUMBER(J1005),NOT(ISNUMBER(F1005))),"数量がありません","金額がありません")),IF(NOT(ISNUMBER(A1005)),"日付がありません（月別集計に入りません）",IF(AND(ISNUMBER(F1005),ISNUMBER(J1005),ISNUMBER(I1005)),"数量×単価を使いました（金額の欄は使っていません）","")))))))</f>
        <v/>
      </c>
      <c r="N1005" s="91">
        <f>IF(AND(B1005&lt;&gt;"",B1005='案件カード'!$C$3),COUNTIF($B$5:B1005,'案件カード'!$C$3),"")</f>
        <v/>
      </c>
      <c r="O1005" s="91">
        <f>IF(ISNUMBER(K1005),IF(B1005="",K1005,IF(AND(ISNUMBER(MATCH(B1005,'案件'!$A$6:$A$105,0)),OR(D1005="材料費",D1005="労務費",D1005="外注費",D1005="経費")),0,K1005)),0)</f>
        <v/>
      </c>
    </row>
    <row r="1006" ht="16" customHeight="1">
      <c r="A1006" s="35" t="n"/>
      <c r="B1006" s="36" t="n"/>
      <c r="C1006" s="37">
        <f>IF(B1006="","",IFERROR(INDEX('案件'!$B$6:$B$105,MATCH(B1006,'案件'!$A$6:$A$105,0))&amp;"","（案件シートに無い番号）"))</f>
        <v/>
      </c>
      <c r="D1006" s="36" t="n"/>
      <c r="E1006" s="38" t="n"/>
      <c r="F1006" s="39" t="n"/>
      <c r="G1006" s="36" t="n"/>
      <c r="H1006" s="40" t="n"/>
      <c r="I1006" s="40" t="n"/>
      <c r="J1006" s="41">
        <f>IF(ISNUMBER(H1006),H1006,IF(AND(D1006="労務費",TRIM(E1006)&lt;&gt;""),IFERROR(INDEX('設定'!$G$12:$G$31,MATCH(TRIM(E1006),'設定'!$J$12:$J$31,0)),""),""))</f>
        <v/>
      </c>
      <c r="K1006" s="30">
        <f>IF(AND(ISNUMBER(F1006),ISNUMBER(J1006)),ROUND(F1006*J1006,0),IF(ISNUMBER(I1006),I1006,""))</f>
        <v/>
      </c>
      <c r="L1006" s="33" t="n"/>
      <c r="M1006" s="34">
        <f>IF(COUNTA(A1006:B1006,D1006:I1006,L1006)=0,"",IF(B1006="","案件番号がありません",IF(ISNA(MATCH(B1006,'案件'!$A$6:$A$105,0)),"案件シートに無い番号です",IF(NOT(OR(D1006="材料費",D1006="労務費",D1006="外注費",D1006="経費")),"費目を4つから選んでください",IF(K1006="",IF(AND(ISNUMBER(F1006),NOT(ISNUMBER(J1006))),IF(D1006="労務費","単価がありません（設定の作業者名と同じ書き方に）","単価がありません"),IF(AND(ISNUMBER(J1006),NOT(ISNUMBER(F1006))),"数量がありません","金額がありません")),IF(NOT(ISNUMBER(A1006)),"日付がありません（月別集計に入りません）",IF(AND(ISNUMBER(F1006),ISNUMBER(J1006),ISNUMBER(I1006)),"数量×単価を使いました（金額の欄は使っていません）","")))))))</f>
        <v/>
      </c>
      <c r="N1006" s="91">
        <f>IF(AND(B1006&lt;&gt;"",B1006='案件カード'!$C$3),COUNTIF($B$5:B1006,'案件カード'!$C$3),"")</f>
        <v/>
      </c>
      <c r="O1006" s="91">
        <f>IF(ISNUMBER(K1006),IF(B1006="",K1006,IF(AND(ISNUMBER(MATCH(B1006,'案件'!$A$6:$A$105,0)),OR(D1006="材料費",D1006="労務費",D1006="外注費",D1006="経費")),0,K1006)),0)</f>
        <v/>
      </c>
    </row>
    <row r="1007" ht="16" customHeight="1">
      <c r="A1007" s="35" t="n"/>
      <c r="B1007" s="36" t="n"/>
      <c r="C1007" s="37">
        <f>IF(B1007="","",IFERROR(INDEX('案件'!$B$6:$B$105,MATCH(B1007,'案件'!$A$6:$A$105,0))&amp;"","（案件シートに無い番号）"))</f>
        <v/>
      </c>
      <c r="D1007" s="36" t="n"/>
      <c r="E1007" s="38" t="n"/>
      <c r="F1007" s="39" t="n"/>
      <c r="G1007" s="36" t="n"/>
      <c r="H1007" s="40" t="n"/>
      <c r="I1007" s="40" t="n"/>
      <c r="J1007" s="41">
        <f>IF(ISNUMBER(H1007),H1007,IF(AND(D1007="労務費",TRIM(E1007)&lt;&gt;""),IFERROR(INDEX('設定'!$G$12:$G$31,MATCH(TRIM(E1007),'設定'!$J$12:$J$31,0)),""),""))</f>
        <v/>
      </c>
      <c r="K1007" s="30">
        <f>IF(AND(ISNUMBER(F1007),ISNUMBER(J1007)),ROUND(F1007*J1007,0),IF(ISNUMBER(I1007),I1007,""))</f>
        <v/>
      </c>
      <c r="L1007" s="33" t="n"/>
      <c r="M1007" s="34">
        <f>IF(COUNTA(A1007:B1007,D1007:I1007,L1007)=0,"",IF(B1007="","案件番号がありません",IF(ISNA(MATCH(B1007,'案件'!$A$6:$A$105,0)),"案件シートに無い番号です",IF(NOT(OR(D1007="材料費",D1007="労務費",D1007="外注費",D1007="経費")),"費目を4つから選んでください",IF(K1007="",IF(AND(ISNUMBER(F1007),NOT(ISNUMBER(J1007))),IF(D1007="労務費","単価がありません（設定の作業者名と同じ書き方に）","単価がありません"),IF(AND(ISNUMBER(J1007),NOT(ISNUMBER(F1007))),"数量がありません","金額がありません")),IF(NOT(ISNUMBER(A1007)),"日付がありません（月別集計に入りません）",IF(AND(ISNUMBER(F1007),ISNUMBER(J1007),ISNUMBER(I1007)),"数量×単価を使いました（金額の欄は使っていません）","")))))))</f>
        <v/>
      </c>
      <c r="N1007" s="91">
        <f>IF(AND(B1007&lt;&gt;"",B1007='案件カード'!$C$3),COUNTIF($B$5:B1007,'案件カード'!$C$3),"")</f>
        <v/>
      </c>
      <c r="O1007" s="91">
        <f>IF(ISNUMBER(K1007),IF(B1007="",K1007,IF(AND(ISNUMBER(MATCH(B1007,'案件'!$A$6:$A$105,0)),OR(D1007="材料費",D1007="労務費",D1007="外注費",D1007="経費")),0,K1007)),0)</f>
        <v/>
      </c>
    </row>
    <row r="1008" ht="16" customHeight="1">
      <c r="A1008" s="35" t="n"/>
      <c r="B1008" s="36" t="n"/>
      <c r="C1008" s="37">
        <f>IF(B1008="","",IFERROR(INDEX('案件'!$B$6:$B$105,MATCH(B1008,'案件'!$A$6:$A$105,0))&amp;"","（案件シートに無い番号）"))</f>
        <v/>
      </c>
      <c r="D1008" s="36" t="n"/>
      <c r="E1008" s="38" t="n"/>
      <c r="F1008" s="39" t="n"/>
      <c r="G1008" s="36" t="n"/>
      <c r="H1008" s="40" t="n"/>
      <c r="I1008" s="40" t="n"/>
      <c r="J1008" s="41">
        <f>IF(ISNUMBER(H1008),H1008,IF(AND(D1008="労務費",TRIM(E1008)&lt;&gt;""),IFERROR(INDEX('設定'!$G$12:$G$31,MATCH(TRIM(E1008),'設定'!$J$12:$J$31,0)),""),""))</f>
        <v/>
      </c>
      <c r="K1008" s="30">
        <f>IF(AND(ISNUMBER(F1008),ISNUMBER(J1008)),ROUND(F1008*J1008,0),IF(ISNUMBER(I1008),I1008,""))</f>
        <v/>
      </c>
      <c r="L1008" s="33" t="n"/>
      <c r="M1008" s="34">
        <f>IF(COUNTA(A1008:B1008,D1008:I1008,L1008)=0,"",IF(B1008="","案件番号がありません",IF(ISNA(MATCH(B1008,'案件'!$A$6:$A$105,0)),"案件シートに無い番号です",IF(NOT(OR(D1008="材料費",D1008="労務費",D1008="外注費",D1008="経費")),"費目を4つから選んでください",IF(K1008="",IF(AND(ISNUMBER(F1008),NOT(ISNUMBER(J1008))),IF(D1008="労務費","単価がありません（設定の作業者名と同じ書き方に）","単価がありません"),IF(AND(ISNUMBER(J1008),NOT(ISNUMBER(F1008))),"数量がありません","金額がありません")),IF(NOT(ISNUMBER(A1008)),"日付がありません（月別集計に入りません）",IF(AND(ISNUMBER(F1008),ISNUMBER(J1008),ISNUMBER(I1008)),"数量×単価を使いました（金額の欄は使っていません）","")))))))</f>
        <v/>
      </c>
      <c r="N1008" s="91">
        <f>IF(AND(B1008&lt;&gt;"",B1008='案件カード'!$C$3),COUNTIF($B$5:B1008,'案件カード'!$C$3),"")</f>
        <v/>
      </c>
      <c r="O1008" s="91">
        <f>IF(ISNUMBER(K1008),IF(B1008="",K1008,IF(AND(ISNUMBER(MATCH(B1008,'案件'!$A$6:$A$105,0)),OR(D1008="材料費",D1008="労務費",D1008="外注費",D1008="経費")),0,K1008)),0)</f>
        <v/>
      </c>
    </row>
    <row r="1009" ht="16" customHeight="1">
      <c r="A1009" s="35" t="n"/>
      <c r="B1009" s="36" t="n"/>
      <c r="C1009" s="37">
        <f>IF(B1009="","",IFERROR(INDEX('案件'!$B$6:$B$105,MATCH(B1009,'案件'!$A$6:$A$105,0))&amp;"","（案件シートに無い番号）"))</f>
        <v/>
      </c>
      <c r="D1009" s="36" t="n"/>
      <c r="E1009" s="38" t="n"/>
      <c r="F1009" s="39" t="n"/>
      <c r="G1009" s="36" t="n"/>
      <c r="H1009" s="40" t="n"/>
      <c r="I1009" s="40" t="n"/>
      <c r="J1009" s="41">
        <f>IF(ISNUMBER(H1009),H1009,IF(AND(D1009="労務費",TRIM(E1009)&lt;&gt;""),IFERROR(INDEX('設定'!$G$12:$G$31,MATCH(TRIM(E1009),'設定'!$J$12:$J$31,0)),""),""))</f>
        <v/>
      </c>
      <c r="K1009" s="30">
        <f>IF(AND(ISNUMBER(F1009),ISNUMBER(J1009)),ROUND(F1009*J1009,0),IF(ISNUMBER(I1009),I1009,""))</f>
        <v/>
      </c>
      <c r="L1009" s="33" t="n"/>
      <c r="M1009" s="34">
        <f>IF(COUNTA(A1009:B1009,D1009:I1009,L1009)=0,"",IF(B1009="","案件番号がありません",IF(ISNA(MATCH(B1009,'案件'!$A$6:$A$105,0)),"案件シートに無い番号です",IF(NOT(OR(D1009="材料費",D1009="労務費",D1009="外注費",D1009="経費")),"費目を4つから選んでください",IF(K1009="",IF(AND(ISNUMBER(F1009),NOT(ISNUMBER(J1009))),IF(D1009="労務費","単価がありません（設定の作業者名と同じ書き方に）","単価がありません"),IF(AND(ISNUMBER(J1009),NOT(ISNUMBER(F1009))),"数量がありません","金額がありません")),IF(NOT(ISNUMBER(A1009)),"日付がありません（月別集計に入りません）",IF(AND(ISNUMBER(F1009),ISNUMBER(J1009),ISNUMBER(I1009)),"数量×単価を使いました（金額の欄は使っていません）","")))))))</f>
        <v/>
      </c>
      <c r="N1009" s="91">
        <f>IF(AND(B1009&lt;&gt;"",B1009='案件カード'!$C$3),COUNTIF($B$5:B1009,'案件カード'!$C$3),"")</f>
        <v/>
      </c>
      <c r="O1009" s="91">
        <f>IF(ISNUMBER(K1009),IF(B1009="",K1009,IF(AND(ISNUMBER(MATCH(B1009,'案件'!$A$6:$A$105,0)),OR(D1009="材料費",D1009="労務費",D1009="外注費",D1009="経費")),0,K1009)),0)</f>
        <v/>
      </c>
    </row>
    <row r="1010" ht="16" customHeight="1">
      <c r="A1010" s="35" t="n"/>
      <c r="B1010" s="36" t="n"/>
      <c r="C1010" s="37">
        <f>IF(B1010="","",IFERROR(INDEX('案件'!$B$6:$B$105,MATCH(B1010,'案件'!$A$6:$A$105,0))&amp;"","（案件シートに無い番号）"))</f>
        <v/>
      </c>
      <c r="D1010" s="36" t="n"/>
      <c r="E1010" s="38" t="n"/>
      <c r="F1010" s="39" t="n"/>
      <c r="G1010" s="36" t="n"/>
      <c r="H1010" s="40" t="n"/>
      <c r="I1010" s="40" t="n"/>
      <c r="J1010" s="41">
        <f>IF(ISNUMBER(H1010),H1010,IF(AND(D1010="労務費",TRIM(E1010)&lt;&gt;""),IFERROR(INDEX('設定'!$G$12:$G$31,MATCH(TRIM(E1010),'設定'!$J$12:$J$31,0)),""),""))</f>
        <v/>
      </c>
      <c r="K1010" s="30">
        <f>IF(AND(ISNUMBER(F1010),ISNUMBER(J1010)),ROUND(F1010*J1010,0),IF(ISNUMBER(I1010),I1010,""))</f>
        <v/>
      </c>
      <c r="L1010" s="33" t="n"/>
      <c r="M1010" s="34">
        <f>IF(COUNTA(A1010:B1010,D1010:I1010,L1010)=0,"",IF(B1010="","案件番号がありません",IF(ISNA(MATCH(B1010,'案件'!$A$6:$A$105,0)),"案件シートに無い番号です",IF(NOT(OR(D1010="材料費",D1010="労務費",D1010="外注費",D1010="経費")),"費目を4つから選んでください",IF(K1010="",IF(AND(ISNUMBER(F1010),NOT(ISNUMBER(J1010))),IF(D1010="労務費","単価がありません（設定の作業者名と同じ書き方に）","単価がありません"),IF(AND(ISNUMBER(J1010),NOT(ISNUMBER(F1010))),"数量がありません","金額がありません")),IF(NOT(ISNUMBER(A1010)),"日付がありません（月別集計に入りません）",IF(AND(ISNUMBER(F1010),ISNUMBER(J1010),ISNUMBER(I1010)),"数量×単価を使いました（金額の欄は使っていません）","")))))))</f>
        <v/>
      </c>
      <c r="N1010" s="91">
        <f>IF(AND(B1010&lt;&gt;"",B1010='案件カード'!$C$3),COUNTIF($B$5:B1010,'案件カード'!$C$3),"")</f>
        <v/>
      </c>
      <c r="O1010" s="91">
        <f>IF(ISNUMBER(K1010),IF(B1010="",K1010,IF(AND(ISNUMBER(MATCH(B1010,'案件'!$A$6:$A$105,0)),OR(D1010="材料費",D1010="労務費",D1010="外注費",D1010="経費")),0,K1010)),0)</f>
        <v/>
      </c>
    </row>
    <row r="1011" ht="16" customHeight="1">
      <c r="A1011" s="35" t="n"/>
      <c r="B1011" s="36" t="n"/>
      <c r="C1011" s="37">
        <f>IF(B1011="","",IFERROR(INDEX('案件'!$B$6:$B$105,MATCH(B1011,'案件'!$A$6:$A$105,0))&amp;"","（案件シートに無い番号）"))</f>
        <v/>
      </c>
      <c r="D1011" s="36" t="n"/>
      <c r="E1011" s="38" t="n"/>
      <c r="F1011" s="39" t="n"/>
      <c r="G1011" s="36" t="n"/>
      <c r="H1011" s="40" t="n"/>
      <c r="I1011" s="40" t="n"/>
      <c r="J1011" s="41">
        <f>IF(ISNUMBER(H1011),H1011,IF(AND(D1011="労務費",TRIM(E1011)&lt;&gt;""),IFERROR(INDEX('設定'!$G$12:$G$31,MATCH(TRIM(E1011),'設定'!$J$12:$J$31,0)),""),""))</f>
        <v/>
      </c>
      <c r="K1011" s="30">
        <f>IF(AND(ISNUMBER(F1011),ISNUMBER(J1011)),ROUND(F1011*J1011,0),IF(ISNUMBER(I1011),I1011,""))</f>
        <v/>
      </c>
      <c r="L1011" s="33" t="n"/>
      <c r="M1011" s="34">
        <f>IF(COUNTA(A1011:B1011,D1011:I1011,L1011)=0,"",IF(B1011="","案件番号がありません",IF(ISNA(MATCH(B1011,'案件'!$A$6:$A$105,0)),"案件シートに無い番号です",IF(NOT(OR(D1011="材料費",D1011="労務費",D1011="外注費",D1011="経費")),"費目を4つから選んでください",IF(K1011="",IF(AND(ISNUMBER(F1011),NOT(ISNUMBER(J1011))),IF(D1011="労務費","単価がありません（設定の作業者名と同じ書き方に）","単価がありません"),IF(AND(ISNUMBER(J1011),NOT(ISNUMBER(F1011))),"数量がありません","金額がありません")),IF(NOT(ISNUMBER(A1011)),"日付がありません（月別集計に入りません）",IF(AND(ISNUMBER(F1011),ISNUMBER(J1011),ISNUMBER(I1011)),"数量×単価を使いました（金額の欄は使っていません）","")))))))</f>
        <v/>
      </c>
      <c r="N1011" s="91">
        <f>IF(AND(B1011&lt;&gt;"",B1011='案件カード'!$C$3),COUNTIF($B$5:B1011,'案件カード'!$C$3),"")</f>
        <v/>
      </c>
      <c r="O1011" s="91">
        <f>IF(ISNUMBER(K1011),IF(B1011="",K1011,IF(AND(ISNUMBER(MATCH(B1011,'案件'!$A$6:$A$105,0)),OR(D1011="材料費",D1011="労務費",D1011="外注費",D1011="経費")),0,K1011)),0)</f>
        <v/>
      </c>
    </row>
    <row r="1012" ht="16" customHeight="1">
      <c r="A1012" s="35" t="n"/>
      <c r="B1012" s="36" t="n"/>
      <c r="C1012" s="37">
        <f>IF(B1012="","",IFERROR(INDEX('案件'!$B$6:$B$105,MATCH(B1012,'案件'!$A$6:$A$105,0))&amp;"","（案件シートに無い番号）"))</f>
        <v/>
      </c>
      <c r="D1012" s="36" t="n"/>
      <c r="E1012" s="38" t="n"/>
      <c r="F1012" s="39" t="n"/>
      <c r="G1012" s="36" t="n"/>
      <c r="H1012" s="40" t="n"/>
      <c r="I1012" s="40" t="n"/>
      <c r="J1012" s="41">
        <f>IF(ISNUMBER(H1012),H1012,IF(AND(D1012="労務費",TRIM(E1012)&lt;&gt;""),IFERROR(INDEX('設定'!$G$12:$G$31,MATCH(TRIM(E1012),'設定'!$J$12:$J$31,0)),""),""))</f>
        <v/>
      </c>
      <c r="K1012" s="30">
        <f>IF(AND(ISNUMBER(F1012),ISNUMBER(J1012)),ROUND(F1012*J1012,0),IF(ISNUMBER(I1012),I1012,""))</f>
        <v/>
      </c>
      <c r="L1012" s="33" t="n"/>
      <c r="M1012" s="34">
        <f>IF(COUNTA(A1012:B1012,D1012:I1012,L1012)=0,"",IF(B1012="","案件番号がありません",IF(ISNA(MATCH(B1012,'案件'!$A$6:$A$105,0)),"案件シートに無い番号です",IF(NOT(OR(D1012="材料費",D1012="労務費",D1012="外注費",D1012="経費")),"費目を4つから選んでください",IF(K1012="",IF(AND(ISNUMBER(F1012),NOT(ISNUMBER(J1012))),IF(D1012="労務費","単価がありません（設定の作業者名と同じ書き方に）","単価がありません"),IF(AND(ISNUMBER(J1012),NOT(ISNUMBER(F1012))),"数量がありません","金額がありません")),IF(NOT(ISNUMBER(A1012)),"日付がありません（月別集計に入りません）",IF(AND(ISNUMBER(F1012),ISNUMBER(J1012),ISNUMBER(I1012)),"数量×単価を使いました（金額の欄は使っていません）","")))))))</f>
        <v/>
      </c>
      <c r="N1012" s="91">
        <f>IF(AND(B1012&lt;&gt;"",B1012='案件カード'!$C$3),COUNTIF($B$5:B1012,'案件カード'!$C$3),"")</f>
        <v/>
      </c>
      <c r="O1012" s="91">
        <f>IF(ISNUMBER(K1012),IF(B1012="",K1012,IF(AND(ISNUMBER(MATCH(B1012,'案件'!$A$6:$A$105,0)),OR(D1012="材料費",D1012="労務費",D1012="外注費",D1012="経費")),0,K1012)),0)</f>
        <v/>
      </c>
    </row>
    <row r="1013" ht="16" customHeight="1">
      <c r="A1013" s="35" t="n"/>
      <c r="B1013" s="36" t="n"/>
      <c r="C1013" s="37">
        <f>IF(B1013="","",IFERROR(INDEX('案件'!$B$6:$B$105,MATCH(B1013,'案件'!$A$6:$A$105,0))&amp;"","（案件シートに無い番号）"))</f>
        <v/>
      </c>
      <c r="D1013" s="36" t="n"/>
      <c r="E1013" s="38" t="n"/>
      <c r="F1013" s="39" t="n"/>
      <c r="G1013" s="36" t="n"/>
      <c r="H1013" s="40" t="n"/>
      <c r="I1013" s="40" t="n"/>
      <c r="J1013" s="41">
        <f>IF(ISNUMBER(H1013),H1013,IF(AND(D1013="労務費",TRIM(E1013)&lt;&gt;""),IFERROR(INDEX('設定'!$G$12:$G$31,MATCH(TRIM(E1013),'設定'!$J$12:$J$31,0)),""),""))</f>
        <v/>
      </c>
      <c r="K1013" s="30">
        <f>IF(AND(ISNUMBER(F1013),ISNUMBER(J1013)),ROUND(F1013*J1013,0),IF(ISNUMBER(I1013),I1013,""))</f>
        <v/>
      </c>
      <c r="L1013" s="33" t="n"/>
      <c r="M1013" s="34">
        <f>IF(COUNTA(A1013:B1013,D1013:I1013,L1013)=0,"",IF(B1013="","案件番号がありません",IF(ISNA(MATCH(B1013,'案件'!$A$6:$A$105,0)),"案件シートに無い番号です",IF(NOT(OR(D1013="材料費",D1013="労務費",D1013="外注費",D1013="経費")),"費目を4つから選んでください",IF(K1013="",IF(AND(ISNUMBER(F1013),NOT(ISNUMBER(J1013))),IF(D1013="労務費","単価がありません（設定の作業者名と同じ書き方に）","単価がありません"),IF(AND(ISNUMBER(J1013),NOT(ISNUMBER(F1013))),"数量がありません","金額がありません")),IF(NOT(ISNUMBER(A1013)),"日付がありません（月別集計に入りません）",IF(AND(ISNUMBER(F1013),ISNUMBER(J1013),ISNUMBER(I1013)),"数量×単価を使いました（金額の欄は使っていません）","")))))))</f>
        <v/>
      </c>
      <c r="N1013" s="91">
        <f>IF(AND(B1013&lt;&gt;"",B1013='案件カード'!$C$3),COUNTIF($B$5:B1013,'案件カード'!$C$3),"")</f>
        <v/>
      </c>
      <c r="O1013" s="91">
        <f>IF(ISNUMBER(K1013),IF(B1013="",K1013,IF(AND(ISNUMBER(MATCH(B1013,'案件'!$A$6:$A$105,0)),OR(D1013="材料費",D1013="労務費",D1013="外注費",D1013="経費")),0,K1013)),0)</f>
        <v/>
      </c>
    </row>
    <row r="1014" ht="16" customHeight="1">
      <c r="A1014" s="35" t="n"/>
      <c r="B1014" s="36" t="n"/>
      <c r="C1014" s="37">
        <f>IF(B1014="","",IFERROR(INDEX('案件'!$B$6:$B$105,MATCH(B1014,'案件'!$A$6:$A$105,0))&amp;"","（案件シートに無い番号）"))</f>
        <v/>
      </c>
      <c r="D1014" s="36" t="n"/>
      <c r="E1014" s="38" t="n"/>
      <c r="F1014" s="39" t="n"/>
      <c r="G1014" s="36" t="n"/>
      <c r="H1014" s="40" t="n"/>
      <c r="I1014" s="40" t="n"/>
      <c r="J1014" s="41">
        <f>IF(ISNUMBER(H1014),H1014,IF(AND(D1014="労務費",TRIM(E1014)&lt;&gt;""),IFERROR(INDEX('設定'!$G$12:$G$31,MATCH(TRIM(E1014),'設定'!$J$12:$J$31,0)),""),""))</f>
        <v/>
      </c>
      <c r="K1014" s="30">
        <f>IF(AND(ISNUMBER(F1014),ISNUMBER(J1014)),ROUND(F1014*J1014,0),IF(ISNUMBER(I1014),I1014,""))</f>
        <v/>
      </c>
      <c r="L1014" s="33" t="n"/>
      <c r="M1014" s="34">
        <f>IF(COUNTA(A1014:B1014,D1014:I1014,L1014)=0,"",IF(B1014="","案件番号がありません",IF(ISNA(MATCH(B1014,'案件'!$A$6:$A$105,0)),"案件シートに無い番号です",IF(NOT(OR(D1014="材料費",D1014="労務費",D1014="外注費",D1014="経費")),"費目を4つから選んでください",IF(K1014="",IF(AND(ISNUMBER(F1014),NOT(ISNUMBER(J1014))),IF(D1014="労務費","単価がありません（設定の作業者名と同じ書き方に）","単価がありません"),IF(AND(ISNUMBER(J1014),NOT(ISNUMBER(F1014))),"数量がありません","金額がありません")),IF(NOT(ISNUMBER(A1014)),"日付がありません（月別集計に入りません）",IF(AND(ISNUMBER(F1014),ISNUMBER(J1014),ISNUMBER(I1014)),"数量×単価を使いました（金額の欄は使っていません）","")))))))</f>
        <v/>
      </c>
      <c r="N1014" s="91">
        <f>IF(AND(B1014&lt;&gt;"",B1014='案件カード'!$C$3),COUNTIF($B$5:B1014,'案件カード'!$C$3),"")</f>
        <v/>
      </c>
      <c r="O1014" s="91">
        <f>IF(ISNUMBER(K1014),IF(B1014="",K1014,IF(AND(ISNUMBER(MATCH(B1014,'案件'!$A$6:$A$105,0)),OR(D1014="材料費",D1014="労務費",D1014="外注費",D1014="経費")),0,K1014)),0)</f>
        <v/>
      </c>
    </row>
    <row r="1015" ht="16" customHeight="1">
      <c r="A1015" s="35" t="n"/>
      <c r="B1015" s="36" t="n"/>
      <c r="C1015" s="37">
        <f>IF(B1015="","",IFERROR(INDEX('案件'!$B$6:$B$105,MATCH(B1015,'案件'!$A$6:$A$105,0))&amp;"","（案件シートに無い番号）"))</f>
        <v/>
      </c>
      <c r="D1015" s="36" t="n"/>
      <c r="E1015" s="38" t="n"/>
      <c r="F1015" s="39" t="n"/>
      <c r="G1015" s="36" t="n"/>
      <c r="H1015" s="40" t="n"/>
      <c r="I1015" s="40" t="n"/>
      <c r="J1015" s="41">
        <f>IF(ISNUMBER(H1015),H1015,IF(AND(D1015="労務費",TRIM(E1015)&lt;&gt;""),IFERROR(INDEX('設定'!$G$12:$G$31,MATCH(TRIM(E1015),'設定'!$J$12:$J$31,0)),""),""))</f>
        <v/>
      </c>
      <c r="K1015" s="30">
        <f>IF(AND(ISNUMBER(F1015),ISNUMBER(J1015)),ROUND(F1015*J1015,0),IF(ISNUMBER(I1015),I1015,""))</f>
        <v/>
      </c>
      <c r="L1015" s="33" t="n"/>
      <c r="M1015" s="34">
        <f>IF(COUNTA(A1015:B1015,D1015:I1015,L1015)=0,"",IF(B1015="","案件番号がありません",IF(ISNA(MATCH(B1015,'案件'!$A$6:$A$105,0)),"案件シートに無い番号です",IF(NOT(OR(D1015="材料費",D1015="労務費",D1015="外注費",D1015="経費")),"費目を4つから選んでください",IF(K1015="",IF(AND(ISNUMBER(F1015),NOT(ISNUMBER(J1015))),IF(D1015="労務費","単価がありません（設定の作業者名と同じ書き方に）","単価がありません"),IF(AND(ISNUMBER(J1015),NOT(ISNUMBER(F1015))),"数量がありません","金額がありません")),IF(NOT(ISNUMBER(A1015)),"日付がありません（月別集計に入りません）",IF(AND(ISNUMBER(F1015),ISNUMBER(J1015),ISNUMBER(I1015)),"数量×単価を使いました（金額の欄は使っていません）","")))))))</f>
        <v/>
      </c>
      <c r="N1015" s="91">
        <f>IF(AND(B1015&lt;&gt;"",B1015='案件カード'!$C$3),COUNTIF($B$5:B1015,'案件カード'!$C$3),"")</f>
        <v/>
      </c>
      <c r="O1015" s="91">
        <f>IF(ISNUMBER(K1015),IF(B1015="",K1015,IF(AND(ISNUMBER(MATCH(B1015,'案件'!$A$6:$A$105,0)),OR(D1015="材料費",D1015="労務費",D1015="外注費",D1015="経費")),0,K1015)),0)</f>
        <v/>
      </c>
    </row>
    <row r="1016" ht="16" customHeight="1">
      <c r="A1016" s="35" t="n"/>
      <c r="B1016" s="36" t="n"/>
      <c r="C1016" s="37">
        <f>IF(B1016="","",IFERROR(INDEX('案件'!$B$6:$B$105,MATCH(B1016,'案件'!$A$6:$A$105,0))&amp;"","（案件シートに無い番号）"))</f>
        <v/>
      </c>
      <c r="D1016" s="36" t="n"/>
      <c r="E1016" s="38" t="n"/>
      <c r="F1016" s="39" t="n"/>
      <c r="G1016" s="36" t="n"/>
      <c r="H1016" s="40" t="n"/>
      <c r="I1016" s="40" t="n"/>
      <c r="J1016" s="41">
        <f>IF(ISNUMBER(H1016),H1016,IF(AND(D1016="労務費",TRIM(E1016)&lt;&gt;""),IFERROR(INDEX('設定'!$G$12:$G$31,MATCH(TRIM(E1016),'設定'!$J$12:$J$31,0)),""),""))</f>
        <v/>
      </c>
      <c r="K1016" s="30">
        <f>IF(AND(ISNUMBER(F1016),ISNUMBER(J1016)),ROUND(F1016*J1016,0),IF(ISNUMBER(I1016),I1016,""))</f>
        <v/>
      </c>
      <c r="L1016" s="33" t="n"/>
      <c r="M1016" s="34">
        <f>IF(COUNTA(A1016:B1016,D1016:I1016,L1016)=0,"",IF(B1016="","案件番号がありません",IF(ISNA(MATCH(B1016,'案件'!$A$6:$A$105,0)),"案件シートに無い番号です",IF(NOT(OR(D1016="材料費",D1016="労務費",D1016="外注費",D1016="経費")),"費目を4つから選んでください",IF(K1016="",IF(AND(ISNUMBER(F1016),NOT(ISNUMBER(J1016))),IF(D1016="労務費","単価がありません（設定の作業者名と同じ書き方に）","単価がありません"),IF(AND(ISNUMBER(J1016),NOT(ISNUMBER(F1016))),"数量がありません","金額がありません")),IF(NOT(ISNUMBER(A1016)),"日付がありません（月別集計に入りません）",IF(AND(ISNUMBER(F1016),ISNUMBER(J1016),ISNUMBER(I1016)),"数量×単価を使いました（金額の欄は使っていません）","")))))))</f>
        <v/>
      </c>
      <c r="N1016" s="91">
        <f>IF(AND(B1016&lt;&gt;"",B1016='案件カード'!$C$3),COUNTIF($B$5:B1016,'案件カード'!$C$3),"")</f>
        <v/>
      </c>
      <c r="O1016" s="91">
        <f>IF(ISNUMBER(K1016),IF(B1016="",K1016,IF(AND(ISNUMBER(MATCH(B1016,'案件'!$A$6:$A$105,0)),OR(D1016="材料費",D1016="労務費",D1016="外注費",D1016="経費")),0,K1016)),0)</f>
        <v/>
      </c>
    </row>
    <row r="1017" ht="16" customHeight="1">
      <c r="A1017" s="35" t="n"/>
      <c r="B1017" s="36" t="n"/>
      <c r="C1017" s="37">
        <f>IF(B1017="","",IFERROR(INDEX('案件'!$B$6:$B$105,MATCH(B1017,'案件'!$A$6:$A$105,0))&amp;"","（案件シートに無い番号）"))</f>
        <v/>
      </c>
      <c r="D1017" s="36" t="n"/>
      <c r="E1017" s="38" t="n"/>
      <c r="F1017" s="39" t="n"/>
      <c r="G1017" s="36" t="n"/>
      <c r="H1017" s="40" t="n"/>
      <c r="I1017" s="40" t="n"/>
      <c r="J1017" s="41">
        <f>IF(ISNUMBER(H1017),H1017,IF(AND(D1017="労務費",TRIM(E1017)&lt;&gt;""),IFERROR(INDEX('設定'!$G$12:$G$31,MATCH(TRIM(E1017),'設定'!$J$12:$J$31,0)),""),""))</f>
        <v/>
      </c>
      <c r="K1017" s="30">
        <f>IF(AND(ISNUMBER(F1017),ISNUMBER(J1017)),ROUND(F1017*J1017,0),IF(ISNUMBER(I1017),I1017,""))</f>
        <v/>
      </c>
      <c r="L1017" s="33" t="n"/>
      <c r="M1017" s="34">
        <f>IF(COUNTA(A1017:B1017,D1017:I1017,L1017)=0,"",IF(B1017="","案件番号がありません",IF(ISNA(MATCH(B1017,'案件'!$A$6:$A$105,0)),"案件シートに無い番号です",IF(NOT(OR(D1017="材料費",D1017="労務費",D1017="外注費",D1017="経費")),"費目を4つから選んでください",IF(K1017="",IF(AND(ISNUMBER(F1017),NOT(ISNUMBER(J1017))),IF(D1017="労務費","単価がありません（設定の作業者名と同じ書き方に）","単価がありません"),IF(AND(ISNUMBER(J1017),NOT(ISNUMBER(F1017))),"数量がありません","金額がありません")),IF(NOT(ISNUMBER(A1017)),"日付がありません（月別集計に入りません）",IF(AND(ISNUMBER(F1017),ISNUMBER(J1017),ISNUMBER(I1017)),"数量×単価を使いました（金額の欄は使っていません）","")))))))</f>
        <v/>
      </c>
      <c r="N1017" s="91">
        <f>IF(AND(B1017&lt;&gt;"",B1017='案件カード'!$C$3),COUNTIF($B$5:B1017,'案件カード'!$C$3),"")</f>
        <v/>
      </c>
      <c r="O1017" s="91">
        <f>IF(ISNUMBER(K1017),IF(B1017="",K1017,IF(AND(ISNUMBER(MATCH(B1017,'案件'!$A$6:$A$105,0)),OR(D1017="材料費",D1017="労務費",D1017="外注費",D1017="経費")),0,K1017)),0)</f>
        <v/>
      </c>
    </row>
    <row r="1018" ht="16" customHeight="1">
      <c r="A1018" s="35" t="n"/>
      <c r="B1018" s="36" t="n"/>
      <c r="C1018" s="37">
        <f>IF(B1018="","",IFERROR(INDEX('案件'!$B$6:$B$105,MATCH(B1018,'案件'!$A$6:$A$105,0))&amp;"","（案件シートに無い番号）"))</f>
        <v/>
      </c>
      <c r="D1018" s="36" t="n"/>
      <c r="E1018" s="38" t="n"/>
      <c r="F1018" s="39" t="n"/>
      <c r="G1018" s="36" t="n"/>
      <c r="H1018" s="40" t="n"/>
      <c r="I1018" s="40" t="n"/>
      <c r="J1018" s="41">
        <f>IF(ISNUMBER(H1018),H1018,IF(AND(D1018="労務費",TRIM(E1018)&lt;&gt;""),IFERROR(INDEX('設定'!$G$12:$G$31,MATCH(TRIM(E1018),'設定'!$J$12:$J$31,0)),""),""))</f>
        <v/>
      </c>
      <c r="K1018" s="30">
        <f>IF(AND(ISNUMBER(F1018),ISNUMBER(J1018)),ROUND(F1018*J1018,0),IF(ISNUMBER(I1018),I1018,""))</f>
        <v/>
      </c>
      <c r="L1018" s="33" t="n"/>
      <c r="M1018" s="34">
        <f>IF(COUNTA(A1018:B1018,D1018:I1018,L1018)=0,"",IF(B1018="","案件番号がありません",IF(ISNA(MATCH(B1018,'案件'!$A$6:$A$105,0)),"案件シートに無い番号です",IF(NOT(OR(D1018="材料費",D1018="労務費",D1018="外注費",D1018="経費")),"費目を4つから選んでください",IF(K1018="",IF(AND(ISNUMBER(F1018),NOT(ISNUMBER(J1018))),IF(D1018="労務費","単価がありません（設定の作業者名と同じ書き方に）","単価がありません"),IF(AND(ISNUMBER(J1018),NOT(ISNUMBER(F1018))),"数量がありません","金額がありません")),IF(NOT(ISNUMBER(A1018)),"日付がありません（月別集計に入りません）",IF(AND(ISNUMBER(F1018),ISNUMBER(J1018),ISNUMBER(I1018)),"数量×単価を使いました（金額の欄は使っていません）","")))))))</f>
        <v/>
      </c>
      <c r="N1018" s="91">
        <f>IF(AND(B1018&lt;&gt;"",B1018='案件カード'!$C$3),COUNTIF($B$5:B1018,'案件カード'!$C$3),"")</f>
        <v/>
      </c>
      <c r="O1018" s="91">
        <f>IF(ISNUMBER(K1018),IF(B1018="",K1018,IF(AND(ISNUMBER(MATCH(B1018,'案件'!$A$6:$A$105,0)),OR(D1018="材料費",D1018="労務費",D1018="外注費",D1018="経費")),0,K1018)),0)</f>
        <v/>
      </c>
    </row>
    <row r="1019" ht="16" customHeight="1">
      <c r="A1019" s="35" t="n"/>
      <c r="B1019" s="36" t="n"/>
      <c r="C1019" s="37">
        <f>IF(B1019="","",IFERROR(INDEX('案件'!$B$6:$B$105,MATCH(B1019,'案件'!$A$6:$A$105,0))&amp;"","（案件シートに無い番号）"))</f>
        <v/>
      </c>
      <c r="D1019" s="36" t="n"/>
      <c r="E1019" s="38" t="n"/>
      <c r="F1019" s="39" t="n"/>
      <c r="G1019" s="36" t="n"/>
      <c r="H1019" s="40" t="n"/>
      <c r="I1019" s="40" t="n"/>
      <c r="J1019" s="41">
        <f>IF(ISNUMBER(H1019),H1019,IF(AND(D1019="労務費",TRIM(E1019)&lt;&gt;""),IFERROR(INDEX('設定'!$G$12:$G$31,MATCH(TRIM(E1019),'設定'!$J$12:$J$31,0)),""),""))</f>
        <v/>
      </c>
      <c r="K1019" s="30">
        <f>IF(AND(ISNUMBER(F1019),ISNUMBER(J1019)),ROUND(F1019*J1019,0),IF(ISNUMBER(I1019),I1019,""))</f>
        <v/>
      </c>
      <c r="L1019" s="33" t="n"/>
      <c r="M1019" s="34">
        <f>IF(COUNTA(A1019:B1019,D1019:I1019,L1019)=0,"",IF(B1019="","案件番号がありません",IF(ISNA(MATCH(B1019,'案件'!$A$6:$A$105,0)),"案件シートに無い番号です",IF(NOT(OR(D1019="材料費",D1019="労務費",D1019="外注費",D1019="経費")),"費目を4つから選んでください",IF(K1019="",IF(AND(ISNUMBER(F1019),NOT(ISNUMBER(J1019))),IF(D1019="労務費","単価がありません（設定の作業者名と同じ書き方に）","単価がありません"),IF(AND(ISNUMBER(J1019),NOT(ISNUMBER(F1019))),"数量がありません","金額がありません")),IF(NOT(ISNUMBER(A1019)),"日付がありません（月別集計に入りません）",IF(AND(ISNUMBER(F1019),ISNUMBER(J1019),ISNUMBER(I1019)),"数量×単価を使いました（金額の欄は使っていません）","")))))))</f>
        <v/>
      </c>
      <c r="N1019" s="91">
        <f>IF(AND(B1019&lt;&gt;"",B1019='案件カード'!$C$3),COUNTIF($B$5:B1019,'案件カード'!$C$3),"")</f>
        <v/>
      </c>
      <c r="O1019" s="91">
        <f>IF(ISNUMBER(K1019),IF(B1019="",K1019,IF(AND(ISNUMBER(MATCH(B1019,'案件'!$A$6:$A$105,0)),OR(D1019="材料費",D1019="労務費",D1019="外注費",D1019="経費")),0,K1019)),0)</f>
        <v/>
      </c>
    </row>
    <row r="1020" ht="16" customHeight="1">
      <c r="A1020" s="35" t="n"/>
      <c r="B1020" s="36" t="n"/>
      <c r="C1020" s="37">
        <f>IF(B1020="","",IFERROR(INDEX('案件'!$B$6:$B$105,MATCH(B1020,'案件'!$A$6:$A$105,0))&amp;"","（案件シートに無い番号）"))</f>
        <v/>
      </c>
      <c r="D1020" s="36" t="n"/>
      <c r="E1020" s="38" t="n"/>
      <c r="F1020" s="39" t="n"/>
      <c r="G1020" s="36" t="n"/>
      <c r="H1020" s="40" t="n"/>
      <c r="I1020" s="40" t="n"/>
      <c r="J1020" s="41">
        <f>IF(ISNUMBER(H1020),H1020,IF(AND(D1020="労務費",TRIM(E1020)&lt;&gt;""),IFERROR(INDEX('設定'!$G$12:$G$31,MATCH(TRIM(E1020),'設定'!$J$12:$J$31,0)),""),""))</f>
        <v/>
      </c>
      <c r="K1020" s="30">
        <f>IF(AND(ISNUMBER(F1020),ISNUMBER(J1020)),ROUND(F1020*J1020,0),IF(ISNUMBER(I1020),I1020,""))</f>
        <v/>
      </c>
      <c r="L1020" s="33" t="n"/>
      <c r="M1020" s="34">
        <f>IF(COUNTA(A1020:B1020,D1020:I1020,L1020)=0,"",IF(B1020="","案件番号がありません",IF(ISNA(MATCH(B1020,'案件'!$A$6:$A$105,0)),"案件シートに無い番号です",IF(NOT(OR(D1020="材料費",D1020="労務費",D1020="外注費",D1020="経費")),"費目を4つから選んでください",IF(K1020="",IF(AND(ISNUMBER(F1020),NOT(ISNUMBER(J1020))),IF(D1020="労務費","単価がありません（設定の作業者名と同じ書き方に）","単価がありません"),IF(AND(ISNUMBER(J1020),NOT(ISNUMBER(F1020))),"数量がありません","金額がありません")),IF(NOT(ISNUMBER(A1020)),"日付がありません（月別集計に入りません）",IF(AND(ISNUMBER(F1020),ISNUMBER(J1020),ISNUMBER(I1020)),"数量×単価を使いました（金額の欄は使っていません）","")))))))</f>
        <v/>
      </c>
      <c r="N1020" s="91">
        <f>IF(AND(B1020&lt;&gt;"",B1020='案件カード'!$C$3),COUNTIF($B$5:B1020,'案件カード'!$C$3),"")</f>
        <v/>
      </c>
      <c r="O1020" s="91">
        <f>IF(ISNUMBER(K1020),IF(B1020="",K1020,IF(AND(ISNUMBER(MATCH(B1020,'案件'!$A$6:$A$105,0)),OR(D1020="材料費",D1020="労務費",D1020="外注費",D1020="経費")),0,K1020)),0)</f>
        <v/>
      </c>
    </row>
    <row r="1021" ht="16" customHeight="1">
      <c r="A1021" s="35" t="n"/>
      <c r="B1021" s="36" t="n"/>
      <c r="C1021" s="37">
        <f>IF(B1021="","",IFERROR(INDEX('案件'!$B$6:$B$105,MATCH(B1021,'案件'!$A$6:$A$105,0))&amp;"","（案件シートに無い番号）"))</f>
        <v/>
      </c>
      <c r="D1021" s="36" t="n"/>
      <c r="E1021" s="38" t="n"/>
      <c r="F1021" s="39" t="n"/>
      <c r="G1021" s="36" t="n"/>
      <c r="H1021" s="40" t="n"/>
      <c r="I1021" s="40" t="n"/>
      <c r="J1021" s="41">
        <f>IF(ISNUMBER(H1021),H1021,IF(AND(D1021="労務費",TRIM(E1021)&lt;&gt;""),IFERROR(INDEX('設定'!$G$12:$G$31,MATCH(TRIM(E1021),'設定'!$J$12:$J$31,0)),""),""))</f>
        <v/>
      </c>
      <c r="K1021" s="30">
        <f>IF(AND(ISNUMBER(F1021),ISNUMBER(J1021)),ROUND(F1021*J1021,0),IF(ISNUMBER(I1021),I1021,""))</f>
        <v/>
      </c>
      <c r="L1021" s="33" t="n"/>
      <c r="M1021" s="34">
        <f>IF(COUNTA(A1021:B1021,D1021:I1021,L1021)=0,"",IF(B1021="","案件番号がありません",IF(ISNA(MATCH(B1021,'案件'!$A$6:$A$105,0)),"案件シートに無い番号です",IF(NOT(OR(D1021="材料費",D1021="労務費",D1021="外注費",D1021="経費")),"費目を4つから選んでください",IF(K1021="",IF(AND(ISNUMBER(F1021),NOT(ISNUMBER(J1021))),IF(D1021="労務費","単価がありません（設定の作業者名と同じ書き方に）","単価がありません"),IF(AND(ISNUMBER(J1021),NOT(ISNUMBER(F1021))),"数量がありません","金額がありません")),IF(NOT(ISNUMBER(A1021)),"日付がありません（月別集計に入りません）",IF(AND(ISNUMBER(F1021),ISNUMBER(J1021),ISNUMBER(I1021)),"数量×単価を使いました（金額の欄は使っていません）","")))))))</f>
        <v/>
      </c>
      <c r="N1021" s="91">
        <f>IF(AND(B1021&lt;&gt;"",B1021='案件カード'!$C$3),COUNTIF($B$5:B1021,'案件カード'!$C$3),"")</f>
        <v/>
      </c>
      <c r="O1021" s="91">
        <f>IF(ISNUMBER(K1021),IF(B1021="",K1021,IF(AND(ISNUMBER(MATCH(B1021,'案件'!$A$6:$A$105,0)),OR(D1021="材料費",D1021="労務費",D1021="外注費",D1021="経費")),0,K1021)),0)</f>
        <v/>
      </c>
    </row>
    <row r="1022" ht="16" customHeight="1">
      <c r="A1022" s="35" t="n"/>
      <c r="B1022" s="36" t="n"/>
      <c r="C1022" s="37">
        <f>IF(B1022="","",IFERROR(INDEX('案件'!$B$6:$B$105,MATCH(B1022,'案件'!$A$6:$A$105,0))&amp;"","（案件シートに無い番号）"))</f>
        <v/>
      </c>
      <c r="D1022" s="36" t="n"/>
      <c r="E1022" s="38" t="n"/>
      <c r="F1022" s="39" t="n"/>
      <c r="G1022" s="36" t="n"/>
      <c r="H1022" s="40" t="n"/>
      <c r="I1022" s="40" t="n"/>
      <c r="J1022" s="41">
        <f>IF(ISNUMBER(H1022),H1022,IF(AND(D1022="労務費",TRIM(E1022)&lt;&gt;""),IFERROR(INDEX('設定'!$G$12:$G$31,MATCH(TRIM(E1022),'設定'!$J$12:$J$31,0)),""),""))</f>
        <v/>
      </c>
      <c r="K1022" s="30">
        <f>IF(AND(ISNUMBER(F1022),ISNUMBER(J1022)),ROUND(F1022*J1022,0),IF(ISNUMBER(I1022),I1022,""))</f>
        <v/>
      </c>
      <c r="L1022" s="33" t="n"/>
      <c r="M1022" s="34">
        <f>IF(COUNTA(A1022:B1022,D1022:I1022,L1022)=0,"",IF(B1022="","案件番号がありません",IF(ISNA(MATCH(B1022,'案件'!$A$6:$A$105,0)),"案件シートに無い番号です",IF(NOT(OR(D1022="材料費",D1022="労務費",D1022="外注費",D1022="経費")),"費目を4つから選んでください",IF(K1022="",IF(AND(ISNUMBER(F1022),NOT(ISNUMBER(J1022))),IF(D1022="労務費","単価がありません（設定の作業者名と同じ書き方に）","単価がありません"),IF(AND(ISNUMBER(J1022),NOT(ISNUMBER(F1022))),"数量がありません","金額がありません")),IF(NOT(ISNUMBER(A1022)),"日付がありません（月別集計に入りません）",IF(AND(ISNUMBER(F1022),ISNUMBER(J1022),ISNUMBER(I1022)),"数量×単価を使いました（金額の欄は使っていません）","")))))))</f>
        <v/>
      </c>
      <c r="N1022" s="91">
        <f>IF(AND(B1022&lt;&gt;"",B1022='案件カード'!$C$3),COUNTIF($B$5:B1022,'案件カード'!$C$3),"")</f>
        <v/>
      </c>
      <c r="O1022" s="91">
        <f>IF(ISNUMBER(K1022),IF(B1022="",K1022,IF(AND(ISNUMBER(MATCH(B1022,'案件'!$A$6:$A$105,0)),OR(D1022="材料費",D1022="労務費",D1022="外注費",D1022="経費")),0,K1022)),0)</f>
        <v/>
      </c>
    </row>
    <row r="1023" ht="16" customHeight="1">
      <c r="A1023" s="35" t="n"/>
      <c r="B1023" s="36" t="n"/>
      <c r="C1023" s="37">
        <f>IF(B1023="","",IFERROR(INDEX('案件'!$B$6:$B$105,MATCH(B1023,'案件'!$A$6:$A$105,0))&amp;"","（案件シートに無い番号）"))</f>
        <v/>
      </c>
      <c r="D1023" s="36" t="n"/>
      <c r="E1023" s="38" t="n"/>
      <c r="F1023" s="39" t="n"/>
      <c r="G1023" s="36" t="n"/>
      <c r="H1023" s="40" t="n"/>
      <c r="I1023" s="40" t="n"/>
      <c r="J1023" s="41">
        <f>IF(ISNUMBER(H1023),H1023,IF(AND(D1023="労務費",TRIM(E1023)&lt;&gt;""),IFERROR(INDEX('設定'!$G$12:$G$31,MATCH(TRIM(E1023),'設定'!$J$12:$J$31,0)),""),""))</f>
        <v/>
      </c>
      <c r="K1023" s="30">
        <f>IF(AND(ISNUMBER(F1023),ISNUMBER(J1023)),ROUND(F1023*J1023,0),IF(ISNUMBER(I1023),I1023,""))</f>
        <v/>
      </c>
      <c r="L1023" s="33" t="n"/>
      <c r="M1023" s="34">
        <f>IF(COUNTA(A1023:B1023,D1023:I1023,L1023)=0,"",IF(B1023="","案件番号がありません",IF(ISNA(MATCH(B1023,'案件'!$A$6:$A$105,0)),"案件シートに無い番号です",IF(NOT(OR(D1023="材料費",D1023="労務費",D1023="外注費",D1023="経費")),"費目を4つから選んでください",IF(K1023="",IF(AND(ISNUMBER(F1023),NOT(ISNUMBER(J1023))),IF(D1023="労務費","単価がありません（設定の作業者名と同じ書き方に）","単価がありません"),IF(AND(ISNUMBER(J1023),NOT(ISNUMBER(F1023))),"数量がありません","金額がありません")),IF(NOT(ISNUMBER(A1023)),"日付がありません（月別集計に入りません）",IF(AND(ISNUMBER(F1023),ISNUMBER(J1023),ISNUMBER(I1023)),"数量×単価を使いました（金額の欄は使っていません）","")))))))</f>
        <v/>
      </c>
      <c r="N1023" s="91">
        <f>IF(AND(B1023&lt;&gt;"",B1023='案件カード'!$C$3),COUNTIF($B$5:B1023,'案件カード'!$C$3),"")</f>
        <v/>
      </c>
      <c r="O1023" s="91">
        <f>IF(ISNUMBER(K1023),IF(B1023="",K1023,IF(AND(ISNUMBER(MATCH(B1023,'案件'!$A$6:$A$105,0)),OR(D1023="材料費",D1023="労務費",D1023="外注費",D1023="経費")),0,K1023)),0)</f>
        <v/>
      </c>
    </row>
    <row r="1024" ht="16" customHeight="1">
      <c r="A1024" s="35" t="n"/>
      <c r="B1024" s="36" t="n"/>
      <c r="C1024" s="37">
        <f>IF(B1024="","",IFERROR(INDEX('案件'!$B$6:$B$105,MATCH(B1024,'案件'!$A$6:$A$105,0))&amp;"","（案件シートに無い番号）"))</f>
        <v/>
      </c>
      <c r="D1024" s="36" t="n"/>
      <c r="E1024" s="38" t="n"/>
      <c r="F1024" s="39" t="n"/>
      <c r="G1024" s="36" t="n"/>
      <c r="H1024" s="40" t="n"/>
      <c r="I1024" s="40" t="n"/>
      <c r="J1024" s="41">
        <f>IF(ISNUMBER(H1024),H1024,IF(AND(D1024="労務費",TRIM(E1024)&lt;&gt;""),IFERROR(INDEX('設定'!$G$12:$G$31,MATCH(TRIM(E1024),'設定'!$J$12:$J$31,0)),""),""))</f>
        <v/>
      </c>
      <c r="K1024" s="30">
        <f>IF(AND(ISNUMBER(F1024),ISNUMBER(J1024)),ROUND(F1024*J1024,0),IF(ISNUMBER(I1024),I1024,""))</f>
        <v/>
      </c>
      <c r="L1024" s="33" t="n"/>
      <c r="M1024" s="34">
        <f>IF(COUNTA(A1024:B1024,D1024:I1024,L1024)=0,"",IF(B1024="","案件番号がありません",IF(ISNA(MATCH(B1024,'案件'!$A$6:$A$105,0)),"案件シートに無い番号です",IF(NOT(OR(D1024="材料費",D1024="労務費",D1024="外注費",D1024="経費")),"費目を4つから選んでください",IF(K1024="",IF(AND(ISNUMBER(F1024),NOT(ISNUMBER(J1024))),IF(D1024="労務費","単価がありません（設定の作業者名と同じ書き方に）","単価がありません"),IF(AND(ISNUMBER(J1024),NOT(ISNUMBER(F1024))),"数量がありません","金額がありません")),IF(NOT(ISNUMBER(A1024)),"日付がありません（月別集計に入りません）",IF(AND(ISNUMBER(F1024),ISNUMBER(J1024),ISNUMBER(I1024)),"数量×単価を使いました（金額の欄は使っていません）","")))))))</f>
        <v/>
      </c>
      <c r="N1024" s="91">
        <f>IF(AND(B1024&lt;&gt;"",B1024='案件カード'!$C$3),COUNTIF($B$5:B1024,'案件カード'!$C$3),"")</f>
        <v/>
      </c>
      <c r="O1024" s="91">
        <f>IF(ISNUMBER(K1024),IF(B1024="",K1024,IF(AND(ISNUMBER(MATCH(B1024,'案件'!$A$6:$A$105,0)),OR(D1024="材料費",D1024="労務費",D1024="外注費",D1024="経費")),0,K1024)),0)</f>
        <v/>
      </c>
    </row>
    <row r="1025" ht="16" customHeight="1">
      <c r="A1025" s="35" t="n"/>
      <c r="B1025" s="36" t="n"/>
      <c r="C1025" s="37">
        <f>IF(B1025="","",IFERROR(INDEX('案件'!$B$6:$B$105,MATCH(B1025,'案件'!$A$6:$A$105,0))&amp;"","（案件シートに無い番号）"))</f>
        <v/>
      </c>
      <c r="D1025" s="36" t="n"/>
      <c r="E1025" s="38" t="n"/>
      <c r="F1025" s="39" t="n"/>
      <c r="G1025" s="36" t="n"/>
      <c r="H1025" s="40" t="n"/>
      <c r="I1025" s="40" t="n"/>
      <c r="J1025" s="41">
        <f>IF(ISNUMBER(H1025),H1025,IF(AND(D1025="労務費",TRIM(E1025)&lt;&gt;""),IFERROR(INDEX('設定'!$G$12:$G$31,MATCH(TRIM(E1025),'設定'!$J$12:$J$31,0)),""),""))</f>
        <v/>
      </c>
      <c r="K1025" s="30">
        <f>IF(AND(ISNUMBER(F1025),ISNUMBER(J1025)),ROUND(F1025*J1025,0),IF(ISNUMBER(I1025),I1025,""))</f>
        <v/>
      </c>
      <c r="L1025" s="33" t="n"/>
      <c r="M1025" s="34">
        <f>IF(COUNTA(A1025:B1025,D1025:I1025,L1025)=0,"",IF(B1025="","案件番号がありません",IF(ISNA(MATCH(B1025,'案件'!$A$6:$A$105,0)),"案件シートに無い番号です",IF(NOT(OR(D1025="材料費",D1025="労務費",D1025="外注費",D1025="経費")),"費目を4つから選んでください",IF(K1025="",IF(AND(ISNUMBER(F1025),NOT(ISNUMBER(J1025))),IF(D1025="労務費","単価がありません（設定の作業者名と同じ書き方に）","単価がありません"),IF(AND(ISNUMBER(J1025),NOT(ISNUMBER(F1025))),"数量がありません","金額がありません")),IF(NOT(ISNUMBER(A1025)),"日付がありません（月別集計に入りません）",IF(AND(ISNUMBER(F1025),ISNUMBER(J1025),ISNUMBER(I1025)),"数量×単価を使いました（金額の欄は使っていません）","")))))))</f>
        <v/>
      </c>
      <c r="N1025" s="91">
        <f>IF(AND(B1025&lt;&gt;"",B1025='案件カード'!$C$3),COUNTIF($B$5:B1025,'案件カード'!$C$3),"")</f>
        <v/>
      </c>
      <c r="O1025" s="91">
        <f>IF(ISNUMBER(K1025),IF(B1025="",K1025,IF(AND(ISNUMBER(MATCH(B1025,'案件'!$A$6:$A$105,0)),OR(D1025="材料費",D1025="労務費",D1025="外注費",D1025="経費")),0,K1025)),0)</f>
        <v/>
      </c>
    </row>
    <row r="1026" ht="16" customHeight="1">
      <c r="A1026" s="35" t="n"/>
      <c r="B1026" s="36" t="n"/>
      <c r="C1026" s="37">
        <f>IF(B1026="","",IFERROR(INDEX('案件'!$B$6:$B$105,MATCH(B1026,'案件'!$A$6:$A$105,0))&amp;"","（案件シートに無い番号）"))</f>
        <v/>
      </c>
      <c r="D1026" s="36" t="n"/>
      <c r="E1026" s="38" t="n"/>
      <c r="F1026" s="39" t="n"/>
      <c r="G1026" s="36" t="n"/>
      <c r="H1026" s="40" t="n"/>
      <c r="I1026" s="40" t="n"/>
      <c r="J1026" s="41">
        <f>IF(ISNUMBER(H1026),H1026,IF(AND(D1026="労務費",TRIM(E1026)&lt;&gt;""),IFERROR(INDEX('設定'!$G$12:$G$31,MATCH(TRIM(E1026),'設定'!$J$12:$J$31,0)),""),""))</f>
        <v/>
      </c>
      <c r="K1026" s="30">
        <f>IF(AND(ISNUMBER(F1026),ISNUMBER(J1026)),ROUND(F1026*J1026,0),IF(ISNUMBER(I1026),I1026,""))</f>
        <v/>
      </c>
      <c r="L1026" s="33" t="n"/>
      <c r="M1026" s="34">
        <f>IF(COUNTA(A1026:B1026,D1026:I1026,L1026)=0,"",IF(B1026="","案件番号がありません",IF(ISNA(MATCH(B1026,'案件'!$A$6:$A$105,0)),"案件シートに無い番号です",IF(NOT(OR(D1026="材料費",D1026="労務費",D1026="外注費",D1026="経費")),"費目を4つから選んでください",IF(K1026="",IF(AND(ISNUMBER(F1026),NOT(ISNUMBER(J1026))),IF(D1026="労務費","単価がありません（設定の作業者名と同じ書き方に）","単価がありません"),IF(AND(ISNUMBER(J1026),NOT(ISNUMBER(F1026))),"数量がありません","金額がありません")),IF(NOT(ISNUMBER(A1026)),"日付がありません（月別集計に入りません）",IF(AND(ISNUMBER(F1026),ISNUMBER(J1026),ISNUMBER(I1026)),"数量×単価を使いました（金額の欄は使っていません）","")))))))</f>
        <v/>
      </c>
      <c r="N1026" s="91">
        <f>IF(AND(B1026&lt;&gt;"",B1026='案件カード'!$C$3),COUNTIF($B$5:B1026,'案件カード'!$C$3),"")</f>
        <v/>
      </c>
      <c r="O1026" s="91">
        <f>IF(ISNUMBER(K1026),IF(B1026="",K1026,IF(AND(ISNUMBER(MATCH(B1026,'案件'!$A$6:$A$105,0)),OR(D1026="材料費",D1026="労務費",D1026="外注費",D1026="経費")),0,K1026)),0)</f>
        <v/>
      </c>
    </row>
    <row r="1027" ht="16" customHeight="1">
      <c r="A1027" s="35" t="n"/>
      <c r="B1027" s="36" t="n"/>
      <c r="C1027" s="37">
        <f>IF(B1027="","",IFERROR(INDEX('案件'!$B$6:$B$105,MATCH(B1027,'案件'!$A$6:$A$105,0))&amp;"","（案件シートに無い番号）"))</f>
        <v/>
      </c>
      <c r="D1027" s="36" t="n"/>
      <c r="E1027" s="38" t="n"/>
      <c r="F1027" s="39" t="n"/>
      <c r="G1027" s="36" t="n"/>
      <c r="H1027" s="40" t="n"/>
      <c r="I1027" s="40" t="n"/>
      <c r="J1027" s="41">
        <f>IF(ISNUMBER(H1027),H1027,IF(AND(D1027="労務費",TRIM(E1027)&lt;&gt;""),IFERROR(INDEX('設定'!$G$12:$G$31,MATCH(TRIM(E1027),'設定'!$J$12:$J$31,0)),""),""))</f>
        <v/>
      </c>
      <c r="K1027" s="30">
        <f>IF(AND(ISNUMBER(F1027),ISNUMBER(J1027)),ROUND(F1027*J1027,0),IF(ISNUMBER(I1027),I1027,""))</f>
        <v/>
      </c>
      <c r="L1027" s="33" t="n"/>
      <c r="M1027" s="34">
        <f>IF(COUNTA(A1027:B1027,D1027:I1027,L1027)=0,"",IF(B1027="","案件番号がありません",IF(ISNA(MATCH(B1027,'案件'!$A$6:$A$105,0)),"案件シートに無い番号です",IF(NOT(OR(D1027="材料費",D1027="労務費",D1027="外注費",D1027="経費")),"費目を4つから選んでください",IF(K1027="",IF(AND(ISNUMBER(F1027),NOT(ISNUMBER(J1027))),IF(D1027="労務費","単価がありません（設定の作業者名と同じ書き方に）","単価がありません"),IF(AND(ISNUMBER(J1027),NOT(ISNUMBER(F1027))),"数量がありません","金額がありません")),IF(NOT(ISNUMBER(A1027)),"日付がありません（月別集計に入りません）",IF(AND(ISNUMBER(F1027),ISNUMBER(J1027),ISNUMBER(I1027)),"数量×単価を使いました（金額の欄は使っていません）","")))))))</f>
        <v/>
      </c>
      <c r="N1027" s="91">
        <f>IF(AND(B1027&lt;&gt;"",B1027='案件カード'!$C$3),COUNTIF($B$5:B1027,'案件カード'!$C$3),"")</f>
        <v/>
      </c>
      <c r="O1027" s="91">
        <f>IF(ISNUMBER(K1027),IF(B1027="",K1027,IF(AND(ISNUMBER(MATCH(B1027,'案件'!$A$6:$A$105,0)),OR(D1027="材料費",D1027="労務費",D1027="外注費",D1027="経費")),0,K1027)),0)</f>
        <v/>
      </c>
    </row>
    <row r="1028" ht="16" customHeight="1">
      <c r="A1028" s="35" t="n"/>
      <c r="B1028" s="36" t="n"/>
      <c r="C1028" s="37">
        <f>IF(B1028="","",IFERROR(INDEX('案件'!$B$6:$B$105,MATCH(B1028,'案件'!$A$6:$A$105,0))&amp;"","（案件シートに無い番号）"))</f>
        <v/>
      </c>
      <c r="D1028" s="36" t="n"/>
      <c r="E1028" s="38" t="n"/>
      <c r="F1028" s="39" t="n"/>
      <c r="G1028" s="36" t="n"/>
      <c r="H1028" s="40" t="n"/>
      <c r="I1028" s="40" t="n"/>
      <c r="J1028" s="41">
        <f>IF(ISNUMBER(H1028),H1028,IF(AND(D1028="労務費",TRIM(E1028)&lt;&gt;""),IFERROR(INDEX('設定'!$G$12:$G$31,MATCH(TRIM(E1028),'設定'!$J$12:$J$31,0)),""),""))</f>
        <v/>
      </c>
      <c r="K1028" s="30">
        <f>IF(AND(ISNUMBER(F1028),ISNUMBER(J1028)),ROUND(F1028*J1028,0),IF(ISNUMBER(I1028),I1028,""))</f>
        <v/>
      </c>
      <c r="L1028" s="33" t="n"/>
      <c r="M1028" s="34">
        <f>IF(COUNTA(A1028:B1028,D1028:I1028,L1028)=0,"",IF(B1028="","案件番号がありません",IF(ISNA(MATCH(B1028,'案件'!$A$6:$A$105,0)),"案件シートに無い番号です",IF(NOT(OR(D1028="材料費",D1028="労務費",D1028="外注費",D1028="経費")),"費目を4つから選んでください",IF(K1028="",IF(AND(ISNUMBER(F1028),NOT(ISNUMBER(J1028))),IF(D1028="労務費","単価がありません（設定の作業者名と同じ書き方に）","単価がありません"),IF(AND(ISNUMBER(J1028),NOT(ISNUMBER(F1028))),"数量がありません","金額がありません")),IF(NOT(ISNUMBER(A1028)),"日付がありません（月別集計に入りません）",IF(AND(ISNUMBER(F1028),ISNUMBER(J1028),ISNUMBER(I1028)),"数量×単価を使いました（金額の欄は使っていません）","")))))))</f>
        <v/>
      </c>
      <c r="N1028" s="91">
        <f>IF(AND(B1028&lt;&gt;"",B1028='案件カード'!$C$3),COUNTIF($B$5:B1028,'案件カード'!$C$3),"")</f>
        <v/>
      </c>
      <c r="O1028" s="91">
        <f>IF(ISNUMBER(K1028),IF(B1028="",K1028,IF(AND(ISNUMBER(MATCH(B1028,'案件'!$A$6:$A$105,0)),OR(D1028="材料費",D1028="労務費",D1028="外注費",D1028="経費")),0,K1028)),0)</f>
        <v/>
      </c>
    </row>
    <row r="1029" ht="16" customHeight="1">
      <c r="A1029" s="35" t="n"/>
      <c r="B1029" s="36" t="n"/>
      <c r="C1029" s="37">
        <f>IF(B1029="","",IFERROR(INDEX('案件'!$B$6:$B$105,MATCH(B1029,'案件'!$A$6:$A$105,0))&amp;"","（案件シートに無い番号）"))</f>
        <v/>
      </c>
      <c r="D1029" s="36" t="n"/>
      <c r="E1029" s="38" t="n"/>
      <c r="F1029" s="39" t="n"/>
      <c r="G1029" s="36" t="n"/>
      <c r="H1029" s="40" t="n"/>
      <c r="I1029" s="40" t="n"/>
      <c r="J1029" s="41">
        <f>IF(ISNUMBER(H1029),H1029,IF(AND(D1029="労務費",TRIM(E1029)&lt;&gt;""),IFERROR(INDEX('設定'!$G$12:$G$31,MATCH(TRIM(E1029),'設定'!$J$12:$J$31,0)),""),""))</f>
        <v/>
      </c>
      <c r="K1029" s="30">
        <f>IF(AND(ISNUMBER(F1029),ISNUMBER(J1029)),ROUND(F1029*J1029,0),IF(ISNUMBER(I1029),I1029,""))</f>
        <v/>
      </c>
      <c r="L1029" s="33" t="n"/>
      <c r="M1029" s="34">
        <f>IF(COUNTA(A1029:B1029,D1029:I1029,L1029)=0,"",IF(B1029="","案件番号がありません",IF(ISNA(MATCH(B1029,'案件'!$A$6:$A$105,0)),"案件シートに無い番号です",IF(NOT(OR(D1029="材料費",D1029="労務費",D1029="外注費",D1029="経費")),"費目を4つから選んでください",IF(K1029="",IF(AND(ISNUMBER(F1029),NOT(ISNUMBER(J1029))),IF(D1029="労務費","単価がありません（設定の作業者名と同じ書き方に）","単価がありません"),IF(AND(ISNUMBER(J1029),NOT(ISNUMBER(F1029))),"数量がありません","金額がありません")),IF(NOT(ISNUMBER(A1029)),"日付がありません（月別集計に入りません）",IF(AND(ISNUMBER(F1029),ISNUMBER(J1029),ISNUMBER(I1029)),"数量×単価を使いました（金額の欄は使っていません）","")))))))</f>
        <v/>
      </c>
      <c r="N1029" s="91">
        <f>IF(AND(B1029&lt;&gt;"",B1029='案件カード'!$C$3),COUNTIF($B$5:B1029,'案件カード'!$C$3),"")</f>
        <v/>
      </c>
      <c r="O1029" s="91">
        <f>IF(ISNUMBER(K1029),IF(B1029="",K1029,IF(AND(ISNUMBER(MATCH(B1029,'案件'!$A$6:$A$105,0)),OR(D1029="材料費",D1029="労務費",D1029="外注費",D1029="経費")),0,K1029)),0)</f>
        <v/>
      </c>
    </row>
    <row r="1030" ht="16" customHeight="1">
      <c r="A1030" s="35" t="n"/>
      <c r="B1030" s="36" t="n"/>
      <c r="C1030" s="37">
        <f>IF(B1030="","",IFERROR(INDEX('案件'!$B$6:$B$105,MATCH(B1030,'案件'!$A$6:$A$105,0))&amp;"","（案件シートに無い番号）"))</f>
        <v/>
      </c>
      <c r="D1030" s="36" t="n"/>
      <c r="E1030" s="38" t="n"/>
      <c r="F1030" s="39" t="n"/>
      <c r="G1030" s="36" t="n"/>
      <c r="H1030" s="40" t="n"/>
      <c r="I1030" s="40" t="n"/>
      <c r="J1030" s="41">
        <f>IF(ISNUMBER(H1030),H1030,IF(AND(D1030="労務費",TRIM(E1030)&lt;&gt;""),IFERROR(INDEX('設定'!$G$12:$G$31,MATCH(TRIM(E1030),'設定'!$J$12:$J$31,0)),""),""))</f>
        <v/>
      </c>
      <c r="K1030" s="30">
        <f>IF(AND(ISNUMBER(F1030),ISNUMBER(J1030)),ROUND(F1030*J1030,0),IF(ISNUMBER(I1030),I1030,""))</f>
        <v/>
      </c>
      <c r="L1030" s="33" t="n"/>
      <c r="M1030" s="34">
        <f>IF(COUNTA(A1030:B1030,D1030:I1030,L1030)=0,"",IF(B1030="","案件番号がありません",IF(ISNA(MATCH(B1030,'案件'!$A$6:$A$105,0)),"案件シートに無い番号です",IF(NOT(OR(D1030="材料費",D1030="労務費",D1030="外注費",D1030="経費")),"費目を4つから選んでください",IF(K1030="",IF(AND(ISNUMBER(F1030),NOT(ISNUMBER(J1030))),IF(D1030="労務費","単価がありません（設定の作業者名と同じ書き方に）","単価がありません"),IF(AND(ISNUMBER(J1030),NOT(ISNUMBER(F1030))),"数量がありません","金額がありません")),IF(NOT(ISNUMBER(A1030)),"日付がありません（月別集計に入りません）",IF(AND(ISNUMBER(F1030),ISNUMBER(J1030),ISNUMBER(I1030)),"数量×単価を使いました（金額の欄は使っていません）","")))))))</f>
        <v/>
      </c>
      <c r="N1030" s="91">
        <f>IF(AND(B1030&lt;&gt;"",B1030='案件カード'!$C$3),COUNTIF($B$5:B1030,'案件カード'!$C$3),"")</f>
        <v/>
      </c>
      <c r="O1030" s="91">
        <f>IF(ISNUMBER(K1030),IF(B1030="",K1030,IF(AND(ISNUMBER(MATCH(B1030,'案件'!$A$6:$A$105,0)),OR(D1030="材料費",D1030="労務費",D1030="外注費",D1030="経費")),0,K1030)),0)</f>
        <v/>
      </c>
    </row>
    <row r="1031" ht="16" customHeight="1">
      <c r="A1031" s="35" t="n"/>
      <c r="B1031" s="36" t="n"/>
      <c r="C1031" s="37">
        <f>IF(B1031="","",IFERROR(INDEX('案件'!$B$6:$B$105,MATCH(B1031,'案件'!$A$6:$A$105,0))&amp;"","（案件シートに無い番号）"))</f>
        <v/>
      </c>
      <c r="D1031" s="36" t="n"/>
      <c r="E1031" s="38" t="n"/>
      <c r="F1031" s="39" t="n"/>
      <c r="G1031" s="36" t="n"/>
      <c r="H1031" s="40" t="n"/>
      <c r="I1031" s="40" t="n"/>
      <c r="J1031" s="41">
        <f>IF(ISNUMBER(H1031),H1031,IF(AND(D1031="労務費",TRIM(E1031)&lt;&gt;""),IFERROR(INDEX('設定'!$G$12:$G$31,MATCH(TRIM(E1031),'設定'!$J$12:$J$31,0)),""),""))</f>
        <v/>
      </c>
      <c r="K1031" s="30">
        <f>IF(AND(ISNUMBER(F1031),ISNUMBER(J1031)),ROUND(F1031*J1031,0),IF(ISNUMBER(I1031),I1031,""))</f>
        <v/>
      </c>
      <c r="L1031" s="33" t="n"/>
      <c r="M1031" s="34">
        <f>IF(COUNTA(A1031:B1031,D1031:I1031,L1031)=0,"",IF(B1031="","案件番号がありません",IF(ISNA(MATCH(B1031,'案件'!$A$6:$A$105,0)),"案件シートに無い番号です",IF(NOT(OR(D1031="材料費",D1031="労務費",D1031="外注費",D1031="経費")),"費目を4つから選んでください",IF(K1031="",IF(AND(ISNUMBER(F1031),NOT(ISNUMBER(J1031))),IF(D1031="労務費","単価がありません（設定の作業者名と同じ書き方に）","単価がありません"),IF(AND(ISNUMBER(J1031),NOT(ISNUMBER(F1031))),"数量がありません","金額がありません")),IF(NOT(ISNUMBER(A1031)),"日付がありません（月別集計に入りません）",IF(AND(ISNUMBER(F1031),ISNUMBER(J1031),ISNUMBER(I1031)),"数量×単価を使いました（金額の欄は使っていません）","")))))))</f>
        <v/>
      </c>
      <c r="N1031" s="91">
        <f>IF(AND(B1031&lt;&gt;"",B1031='案件カード'!$C$3),COUNTIF($B$5:B1031,'案件カード'!$C$3),"")</f>
        <v/>
      </c>
      <c r="O1031" s="91">
        <f>IF(ISNUMBER(K1031),IF(B1031="",K1031,IF(AND(ISNUMBER(MATCH(B1031,'案件'!$A$6:$A$105,0)),OR(D1031="材料費",D1031="労務費",D1031="外注費",D1031="経費")),0,K1031)),0)</f>
        <v/>
      </c>
    </row>
    <row r="1032" ht="16" customHeight="1">
      <c r="A1032" s="35" t="n"/>
      <c r="B1032" s="36" t="n"/>
      <c r="C1032" s="37">
        <f>IF(B1032="","",IFERROR(INDEX('案件'!$B$6:$B$105,MATCH(B1032,'案件'!$A$6:$A$105,0))&amp;"","（案件シートに無い番号）"))</f>
        <v/>
      </c>
      <c r="D1032" s="36" t="n"/>
      <c r="E1032" s="38" t="n"/>
      <c r="F1032" s="39" t="n"/>
      <c r="G1032" s="36" t="n"/>
      <c r="H1032" s="40" t="n"/>
      <c r="I1032" s="40" t="n"/>
      <c r="J1032" s="41">
        <f>IF(ISNUMBER(H1032),H1032,IF(AND(D1032="労務費",TRIM(E1032)&lt;&gt;""),IFERROR(INDEX('設定'!$G$12:$G$31,MATCH(TRIM(E1032),'設定'!$J$12:$J$31,0)),""),""))</f>
        <v/>
      </c>
      <c r="K1032" s="30">
        <f>IF(AND(ISNUMBER(F1032),ISNUMBER(J1032)),ROUND(F1032*J1032,0),IF(ISNUMBER(I1032),I1032,""))</f>
        <v/>
      </c>
      <c r="L1032" s="33" t="n"/>
      <c r="M1032" s="34">
        <f>IF(COUNTA(A1032:B1032,D1032:I1032,L1032)=0,"",IF(B1032="","案件番号がありません",IF(ISNA(MATCH(B1032,'案件'!$A$6:$A$105,0)),"案件シートに無い番号です",IF(NOT(OR(D1032="材料費",D1032="労務費",D1032="外注費",D1032="経費")),"費目を4つから選んでください",IF(K1032="",IF(AND(ISNUMBER(F1032),NOT(ISNUMBER(J1032))),IF(D1032="労務費","単価がありません（設定の作業者名と同じ書き方に）","単価がありません"),IF(AND(ISNUMBER(J1032),NOT(ISNUMBER(F1032))),"数量がありません","金額がありません")),IF(NOT(ISNUMBER(A1032)),"日付がありません（月別集計に入りません）",IF(AND(ISNUMBER(F1032),ISNUMBER(J1032),ISNUMBER(I1032)),"数量×単価を使いました（金額の欄は使っていません）","")))))))</f>
        <v/>
      </c>
      <c r="N1032" s="91">
        <f>IF(AND(B1032&lt;&gt;"",B1032='案件カード'!$C$3),COUNTIF($B$5:B1032,'案件カード'!$C$3),"")</f>
        <v/>
      </c>
      <c r="O1032" s="91">
        <f>IF(ISNUMBER(K1032),IF(B1032="",K1032,IF(AND(ISNUMBER(MATCH(B1032,'案件'!$A$6:$A$105,0)),OR(D1032="材料費",D1032="労務費",D1032="外注費",D1032="経費")),0,K1032)),0)</f>
        <v/>
      </c>
    </row>
    <row r="1033" ht="16" customHeight="1">
      <c r="A1033" s="35" t="n"/>
      <c r="B1033" s="36" t="n"/>
      <c r="C1033" s="37">
        <f>IF(B1033="","",IFERROR(INDEX('案件'!$B$6:$B$105,MATCH(B1033,'案件'!$A$6:$A$105,0))&amp;"","（案件シートに無い番号）"))</f>
        <v/>
      </c>
      <c r="D1033" s="36" t="n"/>
      <c r="E1033" s="38" t="n"/>
      <c r="F1033" s="39" t="n"/>
      <c r="G1033" s="36" t="n"/>
      <c r="H1033" s="40" t="n"/>
      <c r="I1033" s="40" t="n"/>
      <c r="J1033" s="41">
        <f>IF(ISNUMBER(H1033),H1033,IF(AND(D1033="労務費",TRIM(E1033)&lt;&gt;""),IFERROR(INDEX('設定'!$G$12:$G$31,MATCH(TRIM(E1033),'設定'!$J$12:$J$31,0)),""),""))</f>
        <v/>
      </c>
      <c r="K1033" s="30">
        <f>IF(AND(ISNUMBER(F1033),ISNUMBER(J1033)),ROUND(F1033*J1033,0),IF(ISNUMBER(I1033),I1033,""))</f>
        <v/>
      </c>
      <c r="L1033" s="33" t="n"/>
      <c r="M1033" s="34">
        <f>IF(COUNTA(A1033:B1033,D1033:I1033,L1033)=0,"",IF(B1033="","案件番号がありません",IF(ISNA(MATCH(B1033,'案件'!$A$6:$A$105,0)),"案件シートに無い番号です",IF(NOT(OR(D1033="材料費",D1033="労務費",D1033="外注費",D1033="経費")),"費目を4つから選んでください",IF(K1033="",IF(AND(ISNUMBER(F1033),NOT(ISNUMBER(J1033))),IF(D1033="労務費","単価がありません（設定の作業者名と同じ書き方に）","単価がありません"),IF(AND(ISNUMBER(J1033),NOT(ISNUMBER(F1033))),"数量がありません","金額がありません")),IF(NOT(ISNUMBER(A1033)),"日付がありません（月別集計に入りません）",IF(AND(ISNUMBER(F1033),ISNUMBER(J1033),ISNUMBER(I1033)),"数量×単価を使いました（金額の欄は使っていません）","")))))))</f>
        <v/>
      </c>
      <c r="N1033" s="91">
        <f>IF(AND(B1033&lt;&gt;"",B1033='案件カード'!$C$3),COUNTIF($B$5:B1033,'案件カード'!$C$3),"")</f>
        <v/>
      </c>
      <c r="O1033" s="91">
        <f>IF(ISNUMBER(K1033),IF(B1033="",K1033,IF(AND(ISNUMBER(MATCH(B1033,'案件'!$A$6:$A$105,0)),OR(D1033="材料費",D1033="労務費",D1033="外注費",D1033="経費")),0,K1033)),0)</f>
        <v/>
      </c>
    </row>
    <row r="1034" ht="16" customHeight="1">
      <c r="A1034" s="35" t="n"/>
      <c r="B1034" s="36" t="n"/>
      <c r="C1034" s="37">
        <f>IF(B1034="","",IFERROR(INDEX('案件'!$B$6:$B$105,MATCH(B1034,'案件'!$A$6:$A$105,0))&amp;"","（案件シートに無い番号）"))</f>
        <v/>
      </c>
      <c r="D1034" s="36" t="n"/>
      <c r="E1034" s="38" t="n"/>
      <c r="F1034" s="39" t="n"/>
      <c r="G1034" s="36" t="n"/>
      <c r="H1034" s="40" t="n"/>
      <c r="I1034" s="40" t="n"/>
      <c r="J1034" s="41">
        <f>IF(ISNUMBER(H1034),H1034,IF(AND(D1034="労務費",TRIM(E1034)&lt;&gt;""),IFERROR(INDEX('設定'!$G$12:$G$31,MATCH(TRIM(E1034),'設定'!$J$12:$J$31,0)),""),""))</f>
        <v/>
      </c>
      <c r="K1034" s="30">
        <f>IF(AND(ISNUMBER(F1034),ISNUMBER(J1034)),ROUND(F1034*J1034,0),IF(ISNUMBER(I1034),I1034,""))</f>
        <v/>
      </c>
      <c r="L1034" s="33" t="n"/>
      <c r="M1034" s="34">
        <f>IF(COUNTA(A1034:B1034,D1034:I1034,L1034)=0,"",IF(B1034="","案件番号がありません",IF(ISNA(MATCH(B1034,'案件'!$A$6:$A$105,0)),"案件シートに無い番号です",IF(NOT(OR(D1034="材料費",D1034="労務費",D1034="外注費",D1034="経費")),"費目を4つから選んでください",IF(K1034="",IF(AND(ISNUMBER(F1034),NOT(ISNUMBER(J1034))),IF(D1034="労務費","単価がありません（設定の作業者名と同じ書き方に）","単価がありません"),IF(AND(ISNUMBER(J1034),NOT(ISNUMBER(F1034))),"数量がありません","金額がありません")),IF(NOT(ISNUMBER(A1034)),"日付がありません（月別集計に入りません）",IF(AND(ISNUMBER(F1034),ISNUMBER(J1034),ISNUMBER(I1034)),"数量×単価を使いました（金額の欄は使っていません）","")))))))</f>
        <v/>
      </c>
      <c r="N1034" s="91">
        <f>IF(AND(B1034&lt;&gt;"",B1034='案件カード'!$C$3),COUNTIF($B$5:B1034,'案件カード'!$C$3),"")</f>
        <v/>
      </c>
      <c r="O1034" s="91">
        <f>IF(ISNUMBER(K1034),IF(B1034="",K1034,IF(AND(ISNUMBER(MATCH(B1034,'案件'!$A$6:$A$105,0)),OR(D1034="材料費",D1034="労務費",D1034="外注費",D1034="経費")),0,K1034)),0)</f>
        <v/>
      </c>
    </row>
    <row r="1035" ht="16" customHeight="1">
      <c r="A1035" s="35" t="n"/>
      <c r="B1035" s="36" t="n"/>
      <c r="C1035" s="37">
        <f>IF(B1035="","",IFERROR(INDEX('案件'!$B$6:$B$105,MATCH(B1035,'案件'!$A$6:$A$105,0))&amp;"","（案件シートに無い番号）"))</f>
        <v/>
      </c>
      <c r="D1035" s="36" t="n"/>
      <c r="E1035" s="38" t="n"/>
      <c r="F1035" s="39" t="n"/>
      <c r="G1035" s="36" t="n"/>
      <c r="H1035" s="40" t="n"/>
      <c r="I1035" s="40" t="n"/>
      <c r="J1035" s="41">
        <f>IF(ISNUMBER(H1035),H1035,IF(AND(D1035="労務費",TRIM(E1035)&lt;&gt;""),IFERROR(INDEX('設定'!$G$12:$G$31,MATCH(TRIM(E1035),'設定'!$J$12:$J$31,0)),""),""))</f>
        <v/>
      </c>
      <c r="K1035" s="30">
        <f>IF(AND(ISNUMBER(F1035),ISNUMBER(J1035)),ROUND(F1035*J1035,0),IF(ISNUMBER(I1035),I1035,""))</f>
        <v/>
      </c>
      <c r="L1035" s="33" t="n"/>
      <c r="M1035" s="34">
        <f>IF(COUNTA(A1035:B1035,D1035:I1035,L1035)=0,"",IF(B1035="","案件番号がありません",IF(ISNA(MATCH(B1035,'案件'!$A$6:$A$105,0)),"案件シートに無い番号です",IF(NOT(OR(D1035="材料費",D1035="労務費",D1035="外注費",D1035="経費")),"費目を4つから選んでください",IF(K1035="",IF(AND(ISNUMBER(F1035),NOT(ISNUMBER(J1035))),IF(D1035="労務費","単価がありません（設定の作業者名と同じ書き方に）","単価がありません"),IF(AND(ISNUMBER(J1035),NOT(ISNUMBER(F1035))),"数量がありません","金額がありません")),IF(NOT(ISNUMBER(A1035)),"日付がありません（月別集計に入りません）",IF(AND(ISNUMBER(F1035),ISNUMBER(J1035),ISNUMBER(I1035)),"数量×単価を使いました（金額の欄は使っていません）","")))))))</f>
        <v/>
      </c>
      <c r="N1035" s="91">
        <f>IF(AND(B1035&lt;&gt;"",B1035='案件カード'!$C$3),COUNTIF($B$5:B1035,'案件カード'!$C$3),"")</f>
        <v/>
      </c>
      <c r="O1035" s="91">
        <f>IF(ISNUMBER(K1035),IF(B1035="",K1035,IF(AND(ISNUMBER(MATCH(B1035,'案件'!$A$6:$A$105,0)),OR(D1035="材料費",D1035="労務費",D1035="外注費",D1035="経費")),0,K1035)),0)</f>
        <v/>
      </c>
    </row>
    <row r="1036" ht="16" customHeight="1">
      <c r="A1036" s="35" t="n"/>
      <c r="B1036" s="36" t="n"/>
      <c r="C1036" s="37">
        <f>IF(B1036="","",IFERROR(INDEX('案件'!$B$6:$B$105,MATCH(B1036,'案件'!$A$6:$A$105,0))&amp;"","（案件シートに無い番号）"))</f>
        <v/>
      </c>
      <c r="D1036" s="36" t="n"/>
      <c r="E1036" s="38" t="n"/>
      <c r="F1036" s="39" t="n"/>
      <c r="G1036" s="36" t="n"/>
      <c r="H1036" s="40" t="n"/>
      <c r="I1036" s="40" t="n"/>
      <c r="J1036" s="41">
        <f>IF(ISNUMBER(H1036),H1036,IF(AND(D1036="労務費",TRIM(E1036)&lt;&gt;""),IFERROR(INDEX('設定'!$G$12:$G$31,MATCH(TRIM(E1036),'設定'!$J$12:$J$31,0)),""),""))</f>
        <v/>
      </c>
      <c r="K1036" s="30">
        <f>IF(AND(ISNUMBER(F1036),ISNUMBER(J1036)),ROUND(F1036*J1036,0),IF(ISNUMBER(I1036),I1036,""))</f>
        <v/>
      </c>
      <c r="L1036" s="33" t="n"/>
      <c r="M1036" s="34">
        <f>IF(COUNTA(A1036:B1036,D1036:I1036,L1036)=0,"",IF(B1036="","案件番号がありません",IF(ISNA(MATCH(B1036,'案件'!$A$6:$A$105,0)),"案件シートに無い番号です",IF(NOT(OR(D1036="材料費",D1036="労務費",D1036="外注費",D1036="経費")),"費目を4つから選んでください",IF(K1036="",IF(AND(ISNUMBER(F1036),NOT(ISNUMBER(J1036))),IF(D1036="労務費","単価がありません（設定の作業者名と同じ書き方に）","単価がありません"),IF(AND(ISNUMBER(J1036),NOT(ISNUMBER(F1036))),"数量がありません","金額がありません")),IF(NOT(ISNUMBER(A1036)),"日付がありません（月別集計に入りません）",IF(AND(ISNUMBER(F1036),ISNUMBER(J1036),ISNUMBER(I1036)),"数量×単価を使いました（金額の欄は使っていません）","")))))))</f>
        <v/>
      </c>
      <c r="N1036" s="91">
        <f>IF(AND(B1036&lt;&gt;"",B1036='案件カード'!$C$3),COUNTIF($B$5:B1036,'案件カード'!$C$3),"")</f>
        <v/>
      </c>
      <c r="O1036" s="91">
        <f>IF(ISNUMBER(K1036),IF(B1036="",K1036,IF(AND(ISNUMBER(MATCH(B1036,'案件'!$A$6:$A$105,0)),OR(D1036="材料費",D1036="労務費",D1036="外注費",D1036="経費")),0,K1036)),0)</f>
        <v/>
      </c>
    </row>
    <row r="1037" ht="16" customHeight="1">
      <c r="A1037" s="35" t="n"/>
      <c r="B1037" s="36" t="n"/>
      <c r="C1037" s="37">
        <f>IF(B1037="","",IFERROR(INDEX('案件'!$B$6:$B$105,MATCH(B1037,'案件'!$A$6:$A$105,0))&amp;"","（案件シートに無い番号）"))</f>
        <v/>
      </c>
      <c r="D1037" s="36" t="n"/>
      <c r="E1037" s="38" t="n"/>
      <c r="F1037" s="39" t="n"/>
      <c r="G1037" s="36" t="n"/>
      <c r="H1037" s="40" t="n"/>
      <c r="I1037" s="40" t="n"/>
      <c r="J1037" s="41">
        <f>IF(ISNUMBER(H1037),H1037,IF(AND(D1037="労務費",TRIM(E1037)&lt;&gt;""),IFERROR(INDEX('設定'!$G$12:$G$31,MATCH(TRIM(E1037),'設定'!$J$12:$J$31,0)),""),""))</f>
        <v/>
      </c>
      <c r="K1037" s="30">
        <f>IF(AND(ISNUMBER(F1037),ISNUMBER(J1037)),ROUND(F1037*J1037,0),IF(ISNUMBER(I1037),I1037,""))</f>
        <v/>
      </c>
      <c r="L1037" s="33" t="n"/>
      <c r="M1037" s="34">
        <f>IF(COUNTA(A1037:B1037,D1037:I1037,L1037)=0,"",IF(B1037="","案件番号がありません",IF(ISNA(MATCH(B1037,'案件'!$A$6:$A$105,0)),"案件シートに無い番号です",IF(NOT(OR(D1037="材料費",D1037="労務費",D1037="外注費",D1037="経費")),"費目を4つから選んでください",IF(K1037="",IF(AND(ISNUMBER(F1037),NOT(ISNUMBER(J1037))),IF(D1037="労務費","単価がありません（設定の作業者名と同じ書き方に）","単価がありません"),IF(AND(ISNUMBER(J1037),NOT(ISNUMBER(F1037))),"数量がありません","金額がありません")),IF(NOT(ISNUMBER(A1037)),"日付がありません（月別集計に入りません）",IF(AND(ISNUMBER(F1037),ISNUMBER(J1037),ISNUMBER(I1037)),"数量×単価を使いました（金額の欄は使っていません）","")))))))</f>
        <v/>
      </c>
      <c r="N1037" s="91">
        <f>IF(AND(B1037&lt;&gt;"",B1037='案件カード'!$C$3),COUNTIF($B$5:B1037,'案件カード'!$C$3),"")</f>
        <v/>
      </c>
      <c r="O1037" s="91">
        <f>IF(ISNUMBER(K1037),IF(B1037="",K1037,IF(AND(ISNUMBER(MATCH(B1037,'案件'!$A$6:$A$105,0)),OR(D1037="材料費",D1037="労務費",D1037="外注費",D1037="経費")),0,K1037)),0)</f>
        <v/>
      </c>
    </row>
    <row r="1038" ht="16" customHeight="1">
      <c r="A1038" s="35" t="n"/>
      <c r="B1038" s="36" t="n"/>
      <c r="C1038" s="37">
        <f>IF(B1038="","",IFERROR(INDEX('案件'!$B$6:$B$105,MATCH(B1038,'案件'!$A$6:$A$105,0))&amp;"","（案件シートに無い番号）"))</f>
        <v/>
      </c>
      <c r="D1038" s="36" t="n"/>
      <c r="E1038" s="38" t="n"/>
      <c r="F1038" s="39" t="n"/>
      <c r="G1038" s="36" t="n"/>
      <c r="H1038" s="40" t="n"/>
      <c r="I1038" s="40" t="n"/>
      <c r="J1038" s="41">
        <f>IF(ISNUMBER(H1038),H1038,IF(AND(D1038="労務費",TRIM(E1038)&lt;&gt;""),IFERROR(INDEX('設定'!$G$12:$G$31,MATCH(TRIM(E1038),'設定'!$J$12:$J$31,0)),""),""))</f>
        <v/>
      </c>
      <c r="K1038" s="30">
        <f>IF(AND(ISNUMBER(F1038),ISNUMBER(J1038)),ROUND(F1038*J1038,0),IF(ISNUMBER(I1038),I1038,""))</f>
        <v/>
      </c>
      <c r="L1038" s="33" t="n"/>
      <c r="M1038" s="34">
        <f>IF(COUNTA(A1038:B1038,D1038:I1038,L1038)=0,"",IF(B1038="","案件番号がありません",IF(ISNA(MATCH(B1038,'案件'!$A$6:$A$105,0)),"案件シートに無い番号です",IF(NOT(OR(D1038="材料費",D1038="労務費",D1038="外注費",D1038="経費")),"費目を4つから選んでください",IF(K1038="",IF(AND(ISNUMBER(F1038),NOT(ISNUMBER(J1038))),IF(D1038="労務費","単価がありません（設定の作業者名と同じ書き方に）","単価がありません"),IF(AND(ISNUMBER(J1038),NOT(ISNUMBER(F1038))),"数量がありません","金額がありません")),IF(NOT(ISNUMBER(A1038)),"日付がありません（月別集計に入りません）",IF(AND(ISNUMBER(F1038),ISNUMBER(J1038),ISNUMBER(I1038)),"数量×単価を使いました（金額の欄は使っていません）","")))))))</f>
        <v/>
      </c>
      <c r="N1038" s="91">
        <f>IF(AND(B1038&lt;&gt;"",B1038='案件カード'!$C$3),COUNTIF($B$5:B1038,'案件カード'!$C$3),"")</f>
        <v/>
      </c>
      <c r="O1038" s="91">
        <f>IF(ISNUMBER(K1038),IF(B1038="",K1038,IF(AND(ISNUMBER(MATCH(B1038,'案件'!$A$6:$A$105,0)),OR(D1038="材料費",D1038="労務費",D1038="外注費",D1038="経費")),0,K1038)),0)</f>
        <v/>
      </c>
    </row>
    <row r="1039" ht="16" customHeight="1">
      <c r="A1039" s="35" t="n"/>
      <c r="B1039" s="36" t="n"/>
      <c r="C1039" s="37">
        <f>IF(B1039="","",IFERROR(INDEX('案件'!$B$6:$B$105,MATCH(B1039,'案件'!$A$6:$A$105,0))&amp;"","（案件シートに無い番号）"))</f>
        <v/>
      </c>
      <c r="D1039" s="36" t="n"/>
      <c r="E1039" s="38" t="n"/>
      <c r="F1039" s="39" t="n"/>
      <c r="G1039" s="36" t="n"/>
      <c r="H1039" s="40" t="n"/>
      <c r="I1039" s="40" t="n"/>
      <c r="J1039" s="41">
        <f>IF(ISNUMBER(H1039),H1039,IF(AND(D1039="労務費",TRIM(E1039)&lt;&gt;""),IFERROR(INDEX('設定'!$G$12:$G$31,MATCH(TRIM(E1039),'設定'!$J$12:$J$31,0)),""),""))</f>
        <v/>
      </c>
      <c r="K1039" s="30">
        <f>IF(AND(ISNUMBER(F1039),ISNUMBER(J1039)),ROUND(F1039*J1039,0),IF(ISNUMBER(I1039),I1039,""))</f>
        <v/>
      </c>
      <c r="L1039" s="33" t="n"/>
      <c r="M1039" s="34">
        <f>IF(COUNTA(A1039:B1039,D1039:I1039,L1039)=0,"",IF(B1039="","案件番号がありません",IF(ISNA(MATCH(B1039,'案件'!$A$6:$A$105,0)),"案件シートに無い番号です",IF(NOT(OR(D1039="材料費",D1039="労務費",D1039="外注費",D1039="経費")),"費目を4つから選んでください",IF(K1039="",IF(AND(ISNUMBER(F1039),NOT(ISNUMBER(J1039))),IF(D1039="労務費","単価がありません（設定の作業者名と同じ書き方に）","単価がありません"),IF(AND(ISNUMBER(J1039),NOT(ISNUMBER(F1039))),"数量がありません","金額がありません")),IF(NOT(ISNUMBER(A1039)),"日付がありません（月別集計に入りません）",IF(AND(ISNUMBER(F1039),ISNUMBER(J1039),ISNUMBER(I1039)),"数量×単価を使いました（金額の欄は使っていません）","")))))))</f>
        <v/>
      </c>
      <c r="N1039" s="91">
        <f>IF(AND(B1039&lt;&gt;"",B1039='案件カード'!$C$3),COUNTIF($B$5:B1039,'案件カード'!$C$3),"")</f>
        <v/>
      </c>
      <c r="O1039" s="91">
        <f>IF(ISNUMBER(K1039),IF(B1039="",K1039,IF(AND(ISNUMBER(MATCH(B1039,'案件'!$A$6:$A$105,0)),OR(D1039="材料費",D1039="労務費",D1039="外注費",D1039="経費")),0,K1039)),0)</f>
        <v/>
      </c>
    </row>
    <row r="1040" ht="16" customHeight="1">
      <c r="A1040" s="35" t="n"/>
      <c r="B1040" s="36" t="n"/>
      <c r="C1040" s="37">
        <f>IF(B1040="","",IFERROR(INDEX('案件'!$B$6:$B$105,MATCH(B1040,'案件'!$A$6:$A$105,0))&amp;"","（案件シートに無い番号）"))</f>
        <v/>
      </c>
      <c r="D1040" s="36" t="n"/>
      <c r="E1040" s="38" t="n"/>
      <c r="F1040" s="39" t="n"/>
      <c r="G1040" s="36" t="n"/>
      <c r="H1040" s="40" t="n"/>
      <c r="I1040" s="40" t="n"/>
      <c r="J1040" s="41">
        <f>IF(ISNUMBER(H1040),H1040,IF(AND(D1040="労務費",TRIM(E1040)&lt;&gt;""),IFERROR(INDEX('設定'!$G$12:$G$31,MATCH(TRIM(E1040),'設定'!$J$12:$J$31,0)),""),""))</f>
        <v/>
      </c>
      <c r="K1040" s="30">
        <f>IF(AND(ISNUMBER(F1040),ISNUMBER(J1040)),ROUND(F1040*J1040,0),IF(ISNUMBER(I1040),I1040,""))</f>
        <v/>
      </c>
      <c r="L1040" s="33" t="n"/>
      <c r="M1040" s="34">
        <f>IF(COUNTA(A1040:B1040,D1040:I1040,L1040)=0,"",IF(B1040="","案件番号がありません",IF(ISNA(MATCH(B1040,'案件'!$A$6:$A$105,0)),"案件シートに無い番号です",IF(NOT(OR(D1040="材料費",D1040="労務費",D1040="外注費",D1040="経費")),"費目を4つから選んでください",IF(K1040="",IF(AND(ISNUMBER(F1040),NOT(ISNUMBER(J1040))),IF(D1040="労務費","単価がありません（設定の作業者名と同じ書き方に）","単価がありません"),IF(AND(ISNUMBER(J1040),NOT(ISNUMBER(F1040))),"数量がありません","金額がありません")),IF(NOT(ISNUMBER(A1040)),"日付がありません（月別集計に入りません）",IF(AND(ISNUMBER(F1040),ISNUMBER(J1040),ISNUMBER(I1040)),"数量×単価を使いました（金額の欄は使っていません）","")))))))</f>
        <v/>
      </c>
      <c r="N1040" s="91">
        <f>IF(AND(B1040&lt;&gt;"",B1040='案件カード'!$C$3),COUNTIF($B$5:B1040,'案件カード'!$C$3),"")</f>
        <v/>
      </c>
      <c r="O1040" s="91">
        <f>IF(ISNUMBER(K1040),IF(B1040="",K1040,IF(AND(ISNUMBER(MATCH(B1040,'案件'!$A$6:$A$105,0)),OR(D1040="材料費",D1040="労務費",D1040="外注費",D1040="経費")),0,K1040)),0)</f>
        <v/>
      </c>
    </row>
    <row r="1041" ht="16" customHeight="1">
      <c r="A1041" s="35" t="n"/>
      <c r="B1041" s="36" t="n"/>
      <c r="C1041" s="37">
        <f>IF(B1041="","",IFERROR(INDEX('案件'!$B$6:$B$105,MATCH(B1041,'案件'!$A$6:$A$105,0))&amp;"","（案件シートに無い番号）"))</f>
        <v/>
      </c>
      <c r="D1041" s="36" t="n"/>
      <c r="E1041" s="38" t="n"/>
      <c r="F1041" s="39" t="n"/>
      <c r="G1041" s="36" t="n"/>
      <c r="H1041" s="40" t="n"/>
      <c r="I1041" s="40" t="n"/>
      <c r="J1041" s="41">
        <f>IF(ISNUMBER(H1041),H1041,IF(AND(D1041="労務費",TRIM(E1041)&lt;&gt;""),IFERROR(INDEX('設定'!$G$12:$G$31,MATCH(TRIM(E1041),'設定'!$J$12:$J$31,0)),""),""))</f>
        <v/>
      </c>
      <c r="K1041" s="30">
        <f>IF(AND(ISNUMBER(F1041),ISNUMBER(J1041)),ROUND(F1041*J1041,0),IF(ISNUMBER(I1041),I1041,""))</f>
        <v/>
      </c>
      <c r="L1041" s="33" t="n"/>
      <c r="M1041" s="34">
        <f>IF(COUNTA(A1041:B1041,D1041:I1041,L1041)=0,"",IF(B1041="","案件番号がありません",IF(ISNA(MATCH(B1041,'案件'!$A$6:$A$105,0)),"案件シートに無い番号です",IF(NOT(OR(D1041="材料費",D1041="労務費",D1041="外注費",D1041="経費")),"費目を4つから選んでください",IF(K1041="",IF(AND(ISNUMBER(F1041),NOT(ISNUMBER(J1041))),IF(D1041="労務費","単価がありません（設定の作業者名と同じ書き方に）","単価がありません"),IF(AND(ISNUMBER(J1041),NOT(ISNUMBER(F1041))),"数量がありません","金額がありません")),IF(NOT(ISNUMBER(A1041)),"日付がありません（月別集計に入りません）",IF(AND(ISNUMBER(F1041),ISNUMBER(J1041),ISNUMBER(I1041)),"数量×単価を使いました（金額の欄は使っていません）","")))))))</f>
        <v/>
      </c>
      <c r="N1041" s="91">
        <f>IF(AND(B1041&lt;&gt;"",B1041='案件カード'!$C$3),COUNTIF($B$5:B1041,'案件カード'!$C$3),"")</f>
        <v/>
      </c>
      <c r="O1041" s="91">
        <f>IF(ISNUMBER(K1041),IF(B1041="",K1041,IF(AND(ISNUMBER(MATCH(B1041,'案件'!$A$6:$A$105,0)),OR(D1041="材料費",D1041="労務費",D1041="外注費",D1041="経費")),0,K1041)),0)</f>
        <v/>
      </c>
    </row>
    <row r="1042" ht="16" customHeight="1">
      <c r="A1042" s="35" t="n"/>
      <c r="B1042" s="36" t="n"/>
      <c r="C1042" s="37">
        <f>IF(B1042="","",IFERROR(INDEX('案件'!$B$6:$B$105,MATCH(B1042,'案件'!$A$6:$A$105,0))&amp;"","（案件シートに無い番号）"))</f>
        <v/>
      </c>
      <c r="D1042" s="36" t="n"/>
      <c r="E1042" s="38" t="n"/>
      <c r="F1042" s="39" t="n"/>
      <c r="G1042" s="36" t="n"/>
      <c r="H1042" s="40" t="n"/>
      <c r="I1042" s="40" t="n"/>
      <c r="J1042" s="41">
        <f>IF(ISNUMBER(H1042),H1042,IF(AND(D1042="労務費",TRIM(E1042)&lt;&gt;""),IFERROR(INDEX('設定'!$G$12:$G$31,MATCH(TRIM(E1042),'設定'!$J$12:$J$31,0)),""),""))</f>
        <v/>
      </c>
      <c r="K1042" s="30">
        <f>IF(AND(ISNUMBER(F1042),ISNUMBER(J1042)),ROUND(F1042*J1042,0),IF(ISNUMBER(I1042),I1042,""))</f>
        <v/>
      </c>
      <c r="L1042" s="33" t="n"/>
      <c r="M1042" s="34">
        <f>IF(COUNTA(A1042:B1042,D1042:I1042,L1042)=0,"",IF(B1042="","案件番号がありません",IF(ISNA(MATCH(B1042,'案件'!$A$6:$A$105,0)),"案件シートに無い番号です",IF(NOT(OR(D1042="材料費",D1042="労務費",D1042="外注費",D1042="経費")),"費目を4つから選んでください",IF(K1042="",IF(AND(ISNUMBER(F1042),NOT(ISNUMBER(J1042))),IF(D1042="労務費","単価がありません（設定の作業者名と同じ書き方に）","単価がありません"),IF(AND(ISNUMBER(J1042),NOT(ISNUMBER(F1042))),"数量がありません","金額がありません")),IF(NOT(ISNUMBER(A1042)),"日付がありません（月別集計に入りません）",IF(AND(ISNUMBER(F1042),ISNUMBER(J1042),ISNUMBER(I1042)),"数量×単価を使いました（金額の欄は使っていません）","")))))))</f>
        <v/>
      </c>
      <c r="N1042" s="91">
        <f>IF(AND(B1042&lt;&gt;"",B1042='案件カード'!$C$3),COUNTIF($B$5:B1042,'案件カード'!$C$3),"")</f>
        <v/>
      </c>
      <c r="O1042" s="91">
        <f>IF(ISNUMBER(K1042),IF(B1042="",K1042,IF(AND(ISNUMBER(MATCH(B1042,'案件'!$A$6:$A$105,0)),OR(D1042="材料費",D1042="労務費",D1042="外注費",D1042="経費")),0,K1042)),0)</f>
        <v/>
      </c>
    </row>
    <row r="1043" ht="16" customHeight="1">
      <c r="A1043" s="35" t="n"/>
      <c r="B1043" s="36" t="n"/>
      <c r="C1043" s="37">
        <f>IF(B1043="","",IFERROR(INDEX('案件'!$B$6:$B$105,MATCH(B1043,'案件'!$A$6:$A$105,0))&amp;"","（案件シートに無い番号）"))</f>
        <v/>
      </c>
      <c r="D1043" s="36" t="n"/>
      <c r="E1043" s="38" t="n"/>
      <c r="F1043" s="39" t="n"/>
      <c r="G1043" s="36" t="n"/>
      <c r="H1043" s="40" t="n"/>
      <c r="I1043" s="40" t="n"/>
      <c r="J1043" s="41">
        <f>IF(ISNUMBER(H1043),H1043,IF(AND(D1043="労務費",TRIM(E1043)&lt;&gt;""),IFERROR(INDEX('設定'!$G$12:$G$31,MATCH(TRIM(E1043),'設定'!$J$12:$J$31,0)),""),""))</f>
        <v/>
      </c>
      <c r="K1043" s="30">
        <f>IF(AND(ISNUMBER(F1043),ISNUMBER(J1043)),ROUND(F1043*J1043,0),IF(ISNUMBER(I1043),I1043,""))</f>
        <v/>
      </c>
      <c r="L1043" s="33" t="n"/>
      <c r="M1043" s="34">
        <f>IF(COUNTA(A1043:B1043,D1043:I1043,L1043)=0,"",IF(B1043="","案件番号がありません",IF(ISNA(MATCH(B1043,'案件'!$A$6:$A$105,0)),"案件シートに無い番号です",IF(NOT(OR(D1043="材料費",D1043="労務費",D1043="外注費",D1043="経費")),"費目を4つから選んでください",IF(K1043="",IF(AND(ISNUMBER(F1043),NOT(ISNUMBER(J1043))),IF(D1043="労務費","単価がありません（設定の作業者名と同じ書き方に）","単価がありません"),IF(AND(ISNUMBER(J1043),NOT(ISNUMBER(F1043))),"数量がありません","金額がありません")),IF(NOT(ISNUMBER(A1043)),"日付がありません（月別集計に入りません）",IF(AND(ISNUMBER(F1043),ISNUMBER(J1043),ISNUMBER(I1043)),"数量×単価を使いました（金額の欄は使っていません）","")))))))</f>
        <v/>
      </c>
      <c r="N1043" s="91">
        <f>IF(AND(B1043&lt;&gt;"",B1043='案件カード'!$C$3),COUNTIF($B$5:B1043,'案件カード'!$C$3),"")</f>
        <v/>
      </c>
      <c r="O1043" s="91">
        <f>IF(ISNUMBER(K1043),IF(B1043="",K1043,IF(AND(ISNUMBER(MATCH(B1043,'案件'!$A$6:$A$105,0)),OR(D1043="材料費",D1043="労務費",D1043="外注費",D1043="経費")),0,K1043)),0)</f>
        <v/>
      </c>
    </row>
    <row r="1044" ht="16" customHeight="1">
      <c r="A1044" s="35" t="n"/>
      <c r="B1044" s="36" t="n"/>
      <c r="C1044" s="37">
        <f>IF(B1044="","",IFERROR(INDEX('案件'!$B$6:$B$105,MATCH(B1044,'案件'!$A$6:$A$105,0))&amp;"","（案件シートに無い番号）"))</f>
        <v/>
      </c>
      <c r="D1044" s="36" t="n"/>
      <c r="E1044" s="38" t="n"/>
      <c r="F1044" s="39" t="n"/>
      <c r="G1044" s="36" t="n"/>
      <c r="H1044" s="40" t="n"/>
      <c r="I1044" s="40" t="n"/>
      <c r="J1044" s="41">
        <f>IF(ISNUMBER(H1044),H1044,IF(AND(D1044="労務費",TRIM(E1044)&lt;&gt;""),IFERROR(INDEX('設定'!$G$12:$G$31,MATCH(TRIM(E1044),'設定'!$J$12:$J$31,0)),""),""))</f>
        <v/>
      </c>
      <c r="K1044" s="30">
        <f>IF(AND(ISNUMBER(F1044),ISNUMBER(J1044)),ROUND(F1044*J1044,0),IF(ISNUMBER(I1044),I1044,""))</f>
        <v/>
      </c>
      <c r="L1044" s="33" t="n"/>
      <c r="M1044" s="34">
        <f>IF(COUNTA(A1044:B1044,D1044:I1044,L1044)=0,"",IF(B1044="","案件番号がありません",IF(ISNA(MATCH(B1044,'案件'!$A$6:$A$105,0)),"案件シートに無い番号です",IF(NOT(OR(D1044="材料費",D1044="労務費",D1044="外注費",D1044="経費")),"費目を4つから選んでください",IF(K1044="",IF(AND(ISNUMBER(F1044),NOT(ISNUMBER(J1044))),IF(D1044="労務費","単価がありません（設定の作業者名と同じ書き方に）","単価がありません"),IF(AND(ISNUMBER(J1044),NOT(ISNUMBER(F1044))),"数量がありません","金額がありません")),IF(NOT(ISNUMBER(A1044)),"日付がありません（月別集計に入りません）",IF(AND(ISNUMBER(F1044),ISNUMBER(J1044),ISNUMBER(I1044)),"数量×単価を使いました（金額の欄は使っていません）","")))))))</f>
        <v/>
      </c>
      <c r="N1044" s="91">
        <f>IF(AND(B1044&lt;&gt;"",B1044='案件カード'!$C$3),COUNTIF($B$5:B1044,'案件カード'!$C$3),"")</f>
        <v/>
      </c>
      <c r="O1044" s="91">
        <f>IF(ISNUMBER(K1044),IF(B1044="",K1044,IF(AND(ISNUMBER(MATCH(B1044,'案件'!$A$6:$A$105,0)),OR(D1044="材料費",D1044="労務費",D1044="外注費",D1044="経費")),0,K1044)),0)</f>
        <v/>
      </c>
    </row>
    <row r="1045" ht="16" customHeight="1">
      <c r="A1045" s="35" t="n"/>
      <c r="B1045" s="36" t="n"/>
      <c r="C1045" s="37">
        <f>IF(B1045="","",IFERROR(INDEX('案件'!$B$6:$B$105,MATCH(B1045,'案件'!$A$6:$A$105,0))&amp;"","（案件シートに無い番号）"))</f>
        <v/>
      </c>
      <c r="D1045" s="36" t="n"/>
      <c r="E1045" s="38" t="n"/>
      <c r="F1045" s="39" t="n"/>
      <c r="G1045" s="36" t="n"/>
      <c r="H1045" s="40" t="n"/>
      <c r="I1045" s="40" t="n"/>
      <c r="J1045" s="41">
        <f>IF(ISNUMBER(H1045),H1045,IF(AND(D1045="労務費",TRIM(E1045)&lt;&gt;""),IFERROR(INDEX('設定'!$G$12:$G$31,MATCH(TRIM(E1045),'設定'!$J$12:$J$31,0)),""),""))</f>
        <v/>
      </c>
      <c r="K1045" s="30">
        <f>IF(AND(ISNUMBER(F1045),ISNUMBER(J1045)),ROUND(F1045*J1045,0),IF(ISNUMBER(I1045),I1045,""))</f>
        <v/>
      </c>
      <c r="L1045" s="33" t="n"/>
      <c r="M1045" s="34">
        <f>IF(COUNTA(A1045:B1045,D1045:I1045,L1045)=0,"",IF(B1045="","案件番号がありません",IF(ISNA(MATCH(B1045,'案件'!$A$6:$A$105,0)),"案件シートに無い番号です",IF(NOT(OR(D1045="材料費",D1045="労務費",D1045="外注費",D1045="経費")),"費目を4つから選んでください",IF(K1045="",IF(AND(ISNUMBER(F1045),NOT(ISNUMBER(J1045))),IF(D1045="労務費","単価がありません（設定の作業者名と同じ書き方に）","単価がありません"),IF(AND(ISNUMBER(J1045),NOT(ISNUMBER(F1045))),"数量がありません","金額がありません")),IF(NOT(ISNUMBER(A1045)),"日付がありません（月別集計に入りません）",IF(AND(ISNUMBER(F1045),ISNUMBER(J1045),ISNUMBER(I1045)),"数量×単価を使いました（金額の欄は使っていません）","")))))))</f>
        <v/>
      </c>
      <c r="N1045" s="91">
        <f>IF(AND(B1045&lt;&gt;"",B1045='案件カード'!$C$3),COUNTIF($B$5:B1045,'案件カード'!$C$3),"")</f>
        <v/>
      </c>
      <c r="O1045" s="91">
        <f>IF(ISNUMBER(K1045),IF(B1045="",K1045,IF(AND(ISNUMBER(MATCH(B1045,'案件'!$A$6:$A$105,0)),OR(D1045="材料費",D1045="労務費",D1045="外注費",D1045="経費")),0,K1045)),0)</f>
        <v/>
      </c>
    </row>
    <row r="1046" ht="16" customHeight="1">
      <c r="A1046" s="35" t="n"/>
      <c r="B1046" s="36" t="n"/>
      <c r="C1046" s="37">
        <f>IF(B1046="","",IFERROR(INDEX('案件'!$B$6:$B$105,MATCH(B1046,'案件'!$A$6:$A$105,0))&amp;"","（案件シートに無い番号）"))</f>
        <v/>
      </c>
      <c r="D1046" s="36" t="n"/>
      <c r="E1046" s="38" t="n"/>
      <c r="F1046" s="39" t="n"/>
      <c r="G1046" s="36" t="n"/>
      <c r="H1046" s="40" t="n"/>
      <c r="I1046" s="40" t="n"/>
      <c r="J1046" s="41">
        <f>IF(ISNUMBER(H1046),H1046,IF(AND(D1046="労務費",TRIM(E1046)&lt;&gt;""),IFERROR(INDEX('設定'!$G$12:$G$31,MATCH(TRIM(E1046),'設定'!$J$12:$J$31,0)),""),""))</f>
        <v/>
      </c>
      <c r="K1046" s="30">
        <f>IF(AND(ISNUMBER(F1046),ISNUMBER(J1046)),ROUND(F1046*J1046,0),IF(ISNUMBER(I1046),I1046,""))</f>
        <v/>
      </c>
      <c r="L1046" s="33" t="n"/>
      <c r="M1046" s="34">
        <f>IF(COUNTA(A1046:B1046,D1046:I1046,L1046)=0,"",IF(B1046="","案件番号がありません",IF(ISNA(MATCH(B1046,'案件'!$A$6:$A$105,0)),"案件シートに無い番号です",IF(NOT(OR(D1046="材料費",D1046="労務費",D1046="外注費",D1046="経費")),"費目を4つから選んでください",IF(K1046="",IF(AND(ISNUMBER(F1046),NOT(ISNUMBER(J1046))),IF(D1046="労務費","単価がありません（設定の作業者名と同じ書き方に）","単価がありません"),IF(AND(ISNUMBER(J1046),NOT(ISNUMBER(F1046))),"数量がありません","金額がありません")),IF(NOT(ISNUMBER(A1046)),"日付がありません（月別集計に入りません）",IF(AND(ISNUMBER(F1046),ISNUMBER(J1046),ISNUMBER(I1046)),"数量×単価を使いました（金額の欄は使っていません）","")))))))</f>
        <v/>
      </c>
      <c r="N1046" s="91">
        <f>IF(AND(B1046&lt;&gt;"",B1046='案件カード'!$C$3),COUNTIF($B$5:B1046,'案件カード'!$C$3),"")</f>
        <v/>
      </c>
      <c r="O1046" s="91">
        <f>IF(ISNUMBER(K1046),IF(B1046="",K1046,IF(AND(ISNUMBER(MATCH(B1046,'案件'!$A$6:$A$105,0)),OR(D1046="材料費",D1046="労務費",D1046="外注費",D1046="経費")),0,K1046)),0)</f>
        <v/>
      </c>
    </row>
    <row r="1047" ht="16" customHeight="1">
      <c r="A1047" s="35" t="n"/>
      <c r="B1047" s="36" t="n"/>
      <c r="C1047" s="37">
        <f>IF(B1047="","",IFERROR(INDEX('案件'!$B$6:$B$105,MATCH(B1047,'案件'!$A$6:$A$105,0))&amp;"","（案件シートに無い番号）"))</f>
        <v/>
      </c>
      <c r="D1047" s="36" t="n"/>
      <c r="E1047" s="38" t="n"/>
      <c r="F1047" s="39" t="n"/>
      <c r="G1047" s="36" t="n"/>
      <c r="H1047" s="40" t="n"/>
      <c r="I1047" s="40" t="n"/>
      <c r="J1047" s="41">
        <f>IF(ISNUMBER(H1047),H1047,IF(AND(D1047="労務費",TRIM(E1047)&lt;&gt;""),IFERROR(INDEX('設定'!$G$12:$G$31,MATCH(TRIM(E1047),'設定'!$J$12:$J$31,0)),""),""))</f>
        <v/>
      </c>
      <c r="K1047" s="30">
        <f>IF(AND(ISNUMBER(F1047),ISNUMBER(J1047)),ROUND(F1047*J1047,0),IF(ISNUMBER(I1047),I1047,""))</f>
        <v/>
      </c>
      <c r="L1047" s="33" t="n"/>
      <c r="M1047" s="34">
        <f>IF(COUNTA(A1047:B1047,D1047:I1047,L1047)=0,"",IF(B1047="","案件番号がありません",IF(ISNA(MATCH(B1047,'案件'!$A$6:$A$105,0)),"案件シートに無い番号です",IF(NOT(OR(D1047="材料費",D1047="労務費",D1047="外注費",D1047="経費")),"費目を4つから選んでください",IF(K1047="",IF(AND(ISNUMBER(F1047),NOT(ISNUMBER(J1047))),IF(D1047="労務費","単価がありません（設定の作業者名と同じ書き方に）","単価がありません"),IF(AND(ISNUMBER(J1047),NOT(ISNUMBER(F1047))),"数量がありません","金額がありません")),IF(NOT(ISNUMBER(A1047)),"日付がありません（月別集計に入りません）",IF(AND(ISNUMBER(F1047),ISNUMBER(J1047),ISNUMBER(I1047)),"数量×単価を使いました（金額の欄は使っていません）","")))))))</f>
        <v/>
      </c>
      <c r="N1047" s="91">
        <f>IF(AND(B1047&lt;&gt;"",B1047='案件カード'!$C$3),COUNTIF($B$5:B1047,'案件カード'!$C$3),"")</f>
        <v/>
      </c>
      <c r="O1047" s="91">
        <f>IF(ISNUMBER(K1047),IF(B1047="",K1047,IF(AND(ISNUMBER(MATCH(B1047,'案件'!$A$6:$A$105,0)),OR(D1047="材料費",D1047="労務費",D1047="外注費",D1047="経費")),0,K1047)),0)</f>
        <v/>
      </c>
    </row>
    <row r="1048" ht="16" customHeight="1">
      <c r="A1048" s="35" t="n"/>
      <c r="B1048" s="36" t="n"/>
      <c r="C1048" s="37">
        <f>IF(B1048="","",IFERROR(INDEX('案件'!$B$6:$B$105,MATCH(B1048,'案件'!$A$6:$A$105,0))&amp;"","（案件シートに無い番号）"))</f>
        <v/>
      </c>
      <c r="D1048" s="36" t="n"/>
      <c r="E1048" s="38" t="n"/>
      <c r="F1048" s="39" t="n"/>
      <c r="G1048" s="36" t="n"/>
      <c r="H1048" s="40" t="n"/>
      <c r="I1048" s="40" t="n"/>
      <c r="J1048" s="41">
        <f>IF(ISNUMBER(H1048),H1048,IF(AND(D1048="労務費",TRIM(E1048)&lt;&gt;""),IFERROR(INDEX('設定'!$G$12:$G$31,MATCH(TRIM(E1048),'設定'!$J$12:$J$31,0)),""),""))</f>
        <v/>
      </c>
      <c r="K1048" s="30">
        <f>IF(AND(ISNUMBER(F1048),ISNUMBER(J1048)),ROUND(F1048*J1048,0),IF(ISNUMBER(I1048),I1048,""))</f>
        <v/>
      </c>
      <c r="L1048" s="33" t="n"/>
      <c r="M1048" s="34">
        <f>IF(COUNTA(A1048:B1048,D1048:I1048,L1048)=0,"",IF(B1048="","案件番号がありません",IF(ISNA(MATCH(B1048,'案件'!$A$6:$A$105,0)),"案件シートに無い番号です",IF(NOT(OR(D1048="材料費",D1048="労務費",D1048="外注費",D1048="経費")),"費目を4つから選んでください",IF(K1048="",IF(AND(ISNUMBER(F1048),NOT(ISNUMBER(J1048))),IF(D1048="労務費","単価がありません（設定の作業者名と同じ書き方に）","単価がありません"),IF(AND(ISNUMBER(J1048),NOT(ISNUMBER(F1048))),"数量がありません","金額がありません")),IF(NOT(ISNUMBER(A1048)),"日付がありません（月別集計に入りません）",IF(AND(ISNUMBER(F1048),ISNUMBER(J1048),ISNUMBER(I1048)),"数量×単価を使いました（金額の欄は使っていません）","")))))))</f>
        <v/>
      </c>
      <c r="N1048" s="91">
        <f>IF(AND(B1048&lt;&gt;"",B1048='案件カード'!$C$3),COUNTIF($B$5:B1048,'案件カード'!$C$3),"")</f>
        <v/>
      </c>
      <c r="O1048" s="91">
        <f>IF(ISNUMBER(K1048),IF(B1048="",K1048,IF(AND(ISNUMBER(MATCH(B1048,'案件'!$A$6:$A$105,0)),OR(D1048="材料費",D1048="労務費",D1048="外注費",D1048="経費")),0,K1048)),0)</f>
        <v/>
      </c>
    </row>
    <row r="1049" ht="16" customHeight="1">
      <c r="A1049" s="35" t="n"/>
      <c r="B1049" s="36" t="n"/>
      <c r="C1049" s="37">
        <f>IF(B1049="","",IFERROR(INDEX('案件'!$B$6:$B$105,MATCH(B1049,'案件'!$A$6:$A$105,0))&amp;"","（案件シートに無い番号）"))</f>
        <v/>
      </c>
      <c r="D1049" s="36" t="n"/>
      <c r="E1049" s="38" t="n"/>
      <c r="F1049" s="39" t="n"/>
      <c r="G1049" s="36" t="n"/>
      <c r="H1049" s="40" t="n"/>
      <c r="I1049" s="40" t="n"/>
      <c r="J1049" s="41">
        <f>IF(ISNUMBER(H1049),H1049,IF(AND(D1049="労務費",TRIM(E1049)&lt;&gt;""),IFERROR(INDEX('設定'!$G$12:$G$31,MATCH(TRIM(E1049),'設定'!$J$12:$J$31,0)),""),""))</f>
        <v/>
      </c>
      <c r="K1049" s="30">
        <f>IF(AND(ISNUMBER(F1049),ISNUMBER(J1049)),ROUND(F1049*J1049,0),IF(ISNUMBER(I1049),I1049,""))</f>
        <v/>
      </c>
      <c r="L1049" s="33" t="n"/>
      <c r="M1049" s="34">
        <f>IF(COUNTA(A1049:B1049,D1049:I1049,L1049)=0,"",IF(B1049="","案件番号がありません",IF(ISNA(MATCH(B1049,'案件'!$A$6:$A$105,0)),"案件シートに無い番号です",IF(NOT(OR(D1049="材料費",D1049="労務費",D1049="外注費",D1049="経費")),"費目を4つから選んでください",IF(K1049="",IF(AND(ISNUMBER(F1049),NOT(ISNUMBER(J1049))),IF(D1049="労務費","単価がありません（設定の作業者名と同じ書き方に）","単価がありません"),IF(AND(ISNUMBER(J1049),NOT(ISNUMBER(F1049))),"数量がありません","金額がありません")),IF(NOT(ISNUMBER(A1049)),"日付がありません（月別集計に入りません）",IF(AND(ISNUMBER(F1049),ISNUMBER(J1049),ISNUMBER(I1049)),"数量×単価を使いました（金額の欄は使っていません）","")))))))</f>
        <v/>
      </c>
      <c r="N1049" s="91">
        <f>IF(AND(B1049&lt;&gt;"",B1049='案件カード'!$C$3),COUNTIF($B$5:B1049,'案件カード'!$C$3),"")</f>
        <v/>
      </c>
      <c r="O1049" s="91">
        <f>IF(ISNUMBER(K1049),IF(B1049="",K1049,IF(AND(ISNUMBER(MATCH(B1049,'案件'!$A$6:$A$105,0)),OR(D1049="材料費",D1049="労務費",D1049="外注費",D1049="経費")),0,K1049)),0)</f>
        <v/>
      </c>
    </row>
    <row r="1050" ht="16" customHeight="1">
      <c r="A1050" s="35" t="n"/>
      <c r="B1050" s="36" t="n"/>
      <c r="C1050" s="37">
        <f>IF(B1050="","",IFERROR(INDEX('案件'!$B$6:$B$105,MATCH(B1050,'案件'!$A$6:$A$105,0))&amp;"","（案件シートに無い番号）"))</f>
        <v/>
      </c>
      <c r="D1050" s="36" t="n"/>
      <c r="E1050" s="38" t="n"/>
      <c r="F1050" s="39" t="n"/>
      <c r="G1050" s="36" t="n"/>
      <c r="H1050" s="40" t="n"/>
      <c r="I1050" s="40" t="n"/>
      <c r="J1050" s="41">
        <f>IF(ISNUMBER(H1050),H1050,IF(AND(D1050="労務費",TRIM(E1050)&lt;&gt;""),IFERROR(INDEX('設定'!$G$12:$G$31,MATCH(TRIM(E1050),'設定'!$J$12:$J$31,0)),""),""))</f>
        <v/>
      </c>
      <c r="K1050" s="30">
        <f>IF(AND(ISNUMBER(F1050),ISNUMBER(J1050)),ROUND(F1050*J1050,0),IF(ISNUMBER(I1050),I1050,""))</f>
        <v/>
      </c>
      <c r="L1050" s="33" t="n"/>
      <c r="M1050" s="34">
        <f>IF(COUNTA(A1050:B1050,D1050:I1050,L1050)=0,"",IF(B1050="","案件番号がありません",IF(ISNA(MATCH(B1050,'案件'!$A$6:$A$105,0)),"案件シートに無い番号です",IF(NOT(OR(D1050="材料費",D1050="労務費",D1050="外注費",D1050="経費")),"費目を4つから選んでください",IF(K1050="",IF(AND(ISNUMBER(F1050),NOT(ISNUMBER(J1050))),IF(D1050="労務費","単価がありません（設定の作業者名と同じ書き方に）","単価がありません"),IF(AND(ISNUMBER(J1050),NOT(ISNUMBER(F1050))),"数量がありません","金額がありません")),IF(NOT(ISNUMBER(A1050)),"日付がありません（月別集計に入りません）",IF(AND(ISNUMBER(F1050),ISNUMBER(J1050),ISNUMBER(I1050)),"数量×単価を使いました（金額の欄は使っていません）","")))))))</f>
        <v/>
      </c>
      <c r="N1050" s="91">
        <f>IF(AND(B1050&lt;&gt;"",B1050='案件カード'!$C$3),COUNTIF($B$5:B1050,'案件カード'!$C$3),"")</f>
        <v/>
      </c>
      <c r="O1050" s="91">
        <f>IF(ISNUMBER(K1050),IF(B1050="",K1050,IF(AND(ISNUMBER(MATCH(B1050,'案件'!$A$6:$A$105,0)),OR(D1050="材料費",D1050="労務費",D1050="外注費",D1050="経費")),0,K1050)),0)</f>
        <v/>
      </c>
    </row>
    <row r="1051" ht="16" customHeight="1">
      <c r="A1051" s="35" t="n"/>
      <c r="B1051" s="36" t="n"/>
      <c r="C1051" s="37">
        <f>IF(B1051="","",IFERROR(INDEX('案件'!$B$6:$B$105,MATCH(B1051,'案件'!$A$6:$A$105,0))&amp;"","（案件シートに無い番号）"))</f>
        <v/>
      </c>
      <c r="D1051" s="36" t="n"/>
      <c r="E1051" s="38" t="n"/>
      <c r="F1051" s="39" t="n"/>
      <c r="G1051" s="36" t="n"/>
      <c r="H1051" s="40" t="n"/>
      <c r="I1051" s="40" t="n"/>
      <c r="J1051" s="41">
        <f>IF(ISNUMBER(H1051),H1051,IF(AND(D1051="労務費",TRIM(E1051)&lt;&gt;""),IFERROR(INDEX('設定'!$G$12:$G$31,MATCH(TRIM(E1051),'設定'!$J$12:$J$31,0)),""),""))</f>
        <v/>
      </c>
      <c r="K1051" s="30">
        <f>IF(AND(ISNUMBER(F1051),ISNUMBER(J1051)),ROUND(F1051*J1051,0),IF(ISNUMBER(I1051),I1051,""))</f>
        <v/>
      </c>
      <c r="L1051" s="33" t="n"/>
      <c r="M1051" s="34">
        <f>IF(COUNTA(A1051:B1051,D1051:I1051,L1051)=0,"",IF(B1051="","案件番号がありません",IF(ISNA(MATCH(B1051,'案件'!$A$6:$A$105,0)),"案件シートに無い番号です",IF(NOT(OR(D1051="材料費",D1051="労務費",D1051="外注費",D1051="経費")),"費目を4つから選んでください",IF(K1051="",IF(AND(ISNUMBER(F1051),NOT(ISNUMBER(J1051))),IF(D1051="労務費","単価がありません（設定の作業者名と同じ書き方に）","単価がありません"),IF(AND(ISNUMBER(J1051),NOT(ISNUMBER(F1051))),"数量がありません","金額がありません")),IF(NOT(ISNUMBER(A1051)),"日付がありません（月別集計に入りません）",IF(AND(ISNUMBER(F1051),ISNUMBER(J1051),ISNUMBER(I1051)),"数量×単価を使いました（金額の欄は使っていません）","")))))))</f>
        <v/>
      </c>
      <c r="N1051" s="91">
        <f>IF(AND(B1051&lt;&gt;"",B1051='案件カード'!$C$3),COUNTIF($B$5:B1051,'案件カード'!$C$3),"")</f>
        <v/>
      </c>
      <c r="O1051" s="91">
        <f>IF(ISNUMBER(K1051),IF(B1051="",K1051,IF(AND(ISNUMBER(MATCH(B1051,'案件'!$A$6:$A$105,0)),OR(D1051="材料費",D1051="労務費",D1051="外注費",D1051="経費")),0,K1051)),0)</f>
        <v/>
      </c>
    </row>
    <row r="1052" ht="16" customHeight="1">
      <c r="A1052" s="35" t="n"/>
      <c r="B1052" s="36" t="n"/>
      <c r="C1052" s="37">
        <f>IF(B1052="","",IFERROR(INDEX('案件'!$B$6:$B$105,MATCH(B1052,'案件'!$A$6:$A$105,0))&amp;"","（案件シートに無い番号）"))</f>
        <v/>
      </c>
      <c r="D1052" s="36" t="n"/>
      <c r="E1052" s="38" t="n"/>
      <c r="F1052" s="39" t="n"/>
      <c r="G1052" s="36" t="n"/>
      <c r="H1052" s="40" t="n"/>
      <c r="I1052" s="40" t="n"/>
      <c r="J1052" s="41">
        <f>IF(ISNUMBER(H1052),H1052,IF(AND(D1052="労務費",TRIM(E1052)&lt;&gt;""),IFERROR(INDEX('設定'!$G$12:$G$31,MATCH(TRIM(E1052),'設定'!$J$12:$J$31,0)),""),""))</f>
        <v/>
      </c>
      <c r="K1052" s="30">
        <f>IF(AND(ISNUMBER(F1052),ISNUMBER(J1052)),ROUND(F1052*J1052,0),IF(ISNUMBER(I1052),I1052,""))</f>
        <v/>
      </c>
      <c r="L1052" s="33" t="n"/>
      <c r="M1052" s="34">
        <f>IF(COUNTA(A1052:B1052,D1052:I1052,L1052)=0,"",IF(B1052="","案件番号がありません",IF(ISNA(MATCH(B1052,'案件'!$A$6:$A$105,0)),"案件シートに無い番号です",IF(NOT(OR(D1052="材料費",D1052="労務費",D1052="外注費",D1052="経費")),"費目を4つから選んでください",IF(K1052="",IF(AND(ISNUMBER(F1052),NOT(ISNUMBER(J1052))),IF(D1052="労務費","単価がありません（設定の作業者名と同じ書き方に）","単価がありません"),IF(AND(ISNUMBER(J1052),NOT(ISNUMBER(F1052))),"数量がありません","金額がありません")),IF(NOT(ISNUMBER(A1052)),"日付がありません（月別集計に入りません）",IF(AND(ISNUMBER(F1052),ISNUMBER(J1052),ISNUMBER(I1052)),"数量×単価を使いました（金額の欄は使っていません）","")))))))</f>
        <v/>
      </c>
      <c r="N1052" s="91">
        <f>IF(AND(B1052&lt;&gt;"",B1052='案件カード'!$C$3),COUNTIF($B$5:B1052,'案件カード'!$C$3),"")</f>
        <v/>
      </c>
      <c r="O1052" s="91">
        <f>IF(ISNUMBER(K1052),IF(B1052="",K1052,IF(AND(ISNUMBER(MATCH(B1052,'案件'!$A$6:$A$105,0)),OR(D1052="材料費",D1052="労務費",D1052="外注費",D1052="経費")),0,K1052)),0)</f>
        <v/>
      </c>
    </row>
    <row r="1053" ht="16" customHeight="1">
      <c r="A1053" s="35" t="n"/>
      <c r="B1053" s="36" t="n"/>
      <c r="C1053" s="37">
        <f>IF(B1053="","",IFERROR(INDEX('案件'!$B$6:$B$105,MATCH(B1053,'案件'!$A$6:$A$105,0))&amp;"","（案件シートに無い番号）"))</f>
        <v/>
      </c>
      <c r="D1053" s="36" t="n"/>
      <c r="E1053" s="38" t="n"/>
      <c r="F1053" s="39" t="n"/>
      <c r="G1053" s="36" t="n"/>
      <c r="H1053" s="40" t="n"/>
      <c r="I1053" s="40" t="n"/>
      <c r="J1053" s="41">
        <f>IF(ISNUMBER(H1053),H1053,IF(AND(D1053="労務費",TRIM(E1053)&lt;&gt;""),IFERROR(INDEX('設定'!$G$12:$G$31,MATCH(TRIM(E1053),'設定'!$J$12:$J$31,0)),""),""))</f>
        <v/>
      </c>
      <c r="K1053" s="30">
        <f>IF(AND(ISNUMBER(F1053),ISNUMBER(J1053)),ROUND(F1053*J1053,0),IF(ISNUMBER(I1053),I1053,""))</f>
        <v/>
      </c>
      <c r="L1053" s="33" t="n"/>
      <c r="M1053" s="34">
        <f>IF(COUNTA(A1053:B1053,D1053:I1053,L1053)=0,"",IF(B1053="","案件番号がありません",IF(ISNA(MATCH(B1053,'案件'!$A$6:$A$105,0)),"案件シートに無い番号です",IF(NOT(OR(D1053="材料費",D1053="労務費",D1053="外注費",D1053="経費")),"費目を4つから選んでください",IF(K1053="",IF(AND(ISNUMBER(F1053),NOT(ISNUMBER(J1053))),IF(D1053="労務費","単価がありません（設定の作業者名と同じ書き方に）","単価がありません"),IF(AND(ISNUMBER(J1053),NOT(ISNUMBER(F1053))),"数量がありません","金額がありません")),IF(NOT(ISNUMBER(A1053)),"日付がありません（月別集計に入りません）",IF(AND(ISNUMBER(F1053),ISNUMBER(J1053),ISNUMBER(I1053)),"数量×単価を使いました（金額の欄は使っていません）","")))))))</f>
        <v/>
      </c>
      <c r="N1053" s="91">
        <f>IF(AND(B1053&lt;&gt;"",B1053='案件カード'!$C$3),COUNTIF($B$5:B1053,'案件カード'!$C$3),"")</f>
        <v/>
      </c>
      <c r="O1053" s="91">
        <f>IF(ISNUMBER(K1053),IF(B1053="",K1053,IF(AND(ISNUMBER(MATCH(B1053,'案件'!$A$6:$A$105,0)),OR(D1053="材料費",D1053="労務費",D1053="外注費",D1053="経費")),0,K1053)),0)</f>
        <v/>
      </c>
    </row>
    <row r="1054" ht="16" customHeight="1">
      <c r="A1054" s="35" t="n"/>
      <c r="B1054" s="36" t="n"/>
      <c r="C1054" s="37">
        <f>IF(B1054="","",IFERROR(INDEX('案件'!$B$6:$B$105,MATCH(B1054,'案件'!$A$6:$A$105,0))&amp;"","（案件シートに無い番号）"))</f>
        <v/>
      </c>
      <c r="D1054" s="36" t="n"/>
      <c r="E1054" s="38" t="n"/>
      <c r="F1054" s="39" t="n"/>
      <c r="G1054" s="36" t="n"/>
      <c r="H1054" s="40" t="n"/>
      <c r="I1054" s="40" t="n"/>
      <c r="J1054" s="41">
        <f>IF(ISNUMBER(H1054),H1054,IF(AND(D1054="労務費",TRIM(E1054)&lt;&gt;""),IFERROR(INDEX('設定'!$G$12:$G$31,MATCH(TRIM(E1054),'設定'!$J$12:$J$31,0)),""),""))</f>
        <v/>
      </c>
      <c r="K1054" s="30">
        <f>IF(AND(ISNUMBER(F1054),ISNUMBER(J1054)),ROUND(F1054*J1054,0),IF(ISNUMBER(I1054),I1054,""))</f>
        <v/>
      </c>
      <c r="L1054" s="33" t="n"/>
      <c r="M1054" s="34">
        <f>IF(COUNTA(A1054:B1054,D1054:I1054,L1054)=0,"",IF(B1054="","案件番号がありません",IF(ISNA(MATCH(B1054,'案件'!$A$6:$A$105,0)),"案件シートに無い番号です",IF(NOT(OR(D1054="材料費",D1054="労務費",D1054="外注費",D1054="経費")),"費目を4つから選んでください",IF(K1054="",IF(AND(ISNUMBER(F1054),NOT(ISNUMBER(J1054))),IF(D1054="労務費","単価がありません（設定の作業者名と同じ書き方に）","単価がありません"),IF(AND(ISNUMBER(J1054),NOT(ISNUMBER(F1054))),"数量がありません","金額がありません")),IF(NOT(ISNUMBER(A1054)),"日付がありません（月別集計に入りません）",IF(AND(ISNUMBER(F1054),ISNUMBER(J1054),ISNUMBER(I1054)),"数量×単価を使いました（金額の欄は使っていません）","")))))))</f>
        <v/>
      </c>
      <c r="N1054" s="91">
        <f>IF(AND(B1054&lt;&gt;"",B1054='案件カード'!$C$3),COUNTIF($B$5:B1054,'案件カード'!$C$3),"")</f>
        <v/>
      </c>
      <c r="O1054" s="91">
        <f>IF(ISNUMBER(K1054),IF(B1054="",K1054,IF(AND(ISNUMBER(MATCH(B1054,'案件'!$A$6:$A$105,0)),OR(D1054="材料費",D1054="労務費",D1054="外注費",D1054="経費")),0,K1054)),0)</f>
        <v/>
      </c>
    </row>
    <row r="1055" ht="16" customHeight="1">
      <c r="A1055" s="35" t="n"/>
      <c r="B1055" s="36" t="n"/>
      <c r="C1055" s="37">
        <f>IF(B1055="","",IFERROR(INDEX('案件'!$B$6:$B$105,MATCH(B1055,'案件'!$A$6:$A$105,0))&amp;"","（案件シートに無い番号）"))</f>
        <v/>
      </c>
      <c r="D1055" s="36" t="n"/>
      <c r="E1055" s="38" t="n"/>
      <c r="F1055" s="39" t="n"/>
      <c r="G1055" s="36" t="n"/>
      <c r="H1055" s="40" t="n"/>
      <c r="I1055" s="40" t="n"/>
      <c r="J1055" s="41">
        <f>IF(ISNUMBER(H1055),H1055,IF(AND(D1055="労務費",TRIM(E1055)&lt;&gt;""),IFERROR(INDEX('設定'!$G$12:$G$31,MATCH(TRIM(E1055),'設定'!$J$12:$J$31,0)),""),""))</f>
        <v/>
      </c>
      <c r="K1055" s="30">
        <f>IF(AND(ISNUMBER(F1055),ISNUMBER(J1055)),ROUND(F1055*J1055,0),IF(ISNUMBER(I1055),I1055,""))</f>
        <v/>
      </c>
      <c r="L1055" s="33" t="n"/>
      <c r="M1055" s="34">
        <f>IF(COUNTA(A1055:B1055,D1055:I1055,L1055)=0,"",IF(B1055="","案件番号がありません",IF(ISNA(MATCH(B1055,'案件'!$A$6:$A$105,0)),"案件シートに無い番号です",IF(NOT(OR(D1055="材料費",D1055="労務費",D1055="外注費",D1055="経費")),"費目を4つから選んでください",IF(K1055="",IF(AND(ISNUMBER(F1055),NOT(ISNUMBER(J1055))),IF(D1055="労務費","単価がありません（設定の作業者名と同じ書き方に）","単価がありません"),IF(AND(ISNUMBER(J1055),NOT(ISNUMBER(F1055))),"数量がありません","金額がありません")),IF(NOT(ISNUMBER(A1055)),"日付がありません（月別集計に入りません）",IF(AND(ISNUMBER(F1055),ISNUMBER(J1055),ISNUMBER(I1055)),"数量×単価を使いました（金額の欄は使っていません）","")))))))</f>
        <v/>
      </c>
      <c r="N1055" s="91">
        <f>IF(AND(B1055&lt;&gt;"",B1055='案件カード'!$C$3),COUNTIF($B$5:B1055,'案件カード'!$C$3),"")</f>
        <v/>
      </c>
      <c r="O1055" s="91">
        <f>IF(ISNUMBER(K1055),IF(B1055="",K1055,IF(AND(ISNUMBER(MATCH(B1055,'案件'!$A$6:$A$105,0)),OR(D1055="材料費",D1055="労務費",D1055="外注費",D1055="経費")),0,K1055)),0)</f>
        <v/>
      </c>
    </row>
    <row r="1056" ht="16" customHeight="1">
      <c r="A1056" s="35" t="n"/>
      <c r="B1056" s="36" t="n"/>
      <c r="C1056" s="37">
        <f>IF(B1056="","",IFERROR(INDEX('案件'!$B$6:$B$105,MATCH(B1056,'案件'!$A$6:$A$105,0))&amp;"","（案件シートに無い番号）"))</f>
        <v/>
      </c>
      <c r="D1056" s="36" t="n"/>
      <c r="E1056" s="38" t="n"/>
      <c r="F1056" s="39" t="n"/>
      <c r="G1056" s="36" t="n"/>
      <c r="H1056" s="40" t="n"/>
      <c r="I1056" s="40" t="n"/>
      <c r="J1056" s="41">
        <f>IF(ISNUMBER(H1056),H1056,IF(AND(D1056="労務費",TRIM(E1056)&lt;&gt;""),IFERROR(INDEX('設定'!$G$12:$G$31,MATCH(TRIM(E1056),'設定'!$J$12:$J$31,0)),""),""))</f>
        <v/>
      </c>
      <c r="K1056" s="30">
        <f>IF(AND(ISNUMBER(F1056),ISNUMBER(J1056)),ROUND(F1056*J1056,0),IF(ISNUMBER(I1056),I1056,""))</f>
        <v/>
      </c>
      <c r="L1056" s="33" t="n"/>
      <c r="M1056" s="34">
        <f>IF(COUNTA(A1056:B1056,D1056:I1056,L1056)=0,"",IF(B1056="","案件番号がありません",IF(ISNA(MATCH(B1056,'案件'!$A$6:$A$105,0)),"案件シートに無い番号です",IF(NOT(OR(D1056="材料費",D1056="労務費",D1056="外注費",D1056="経費")),"費目を4つから選んでください",IF(K1056="",IF(AND(ISNUMBER(F1056),NOT(ISNUMBER(J1056))),IF(D1056="労務費","単価がありません（設定の作業者名と同じ書き方に）","単価がありません"),IF(AND(ISNUMBER(J1056),NOT(ISNUMBER(F1056))),"数量がありません","金額がありません")),IF(NOT(ISNUMBER(A1056)),"日付がありません（月別集計に入りません）",IF(AND(ISNUMBER(F1056),ISNUMBER(J1056),ISNUMBER(I1056)),"数量×単価を使いました（金額の欄は使っていません）","")))))))</f>
        <v/>
      </c>
      <c r="N1056" s="91">
        <f>IF(AND(B1056&lt;&gt;"",B1056='案件カード'!$C$3),COUNTIF($B$5:B1056,'案件カード'!$C$3),"")</f>
        <v/>
      </c>
      <c r="O1056" s="91">
        <f>IF(ISNUMBER(K1056),IF(B1056="",K1056,IF(AND(ISNUMBER(MATCH(B1056,'案件'!$A$6:$A$105,0)),OR(D1056="材料費",D1056="労務費",D1056="外注費",D1056="経費")),0,K1056)),0)</f>
        <v/>
      </c>
    </row>
    <row r="1057" ht="16" customHeight="1">
      <c r="A1057" s="35" t="n"/>
      <c r="B1057" s="36" t="n"/>
      <c r="C1057" s="37">
        <f>IF(B1057="","",IFERROR(INDEX('案件'!$B$6:$B$105,MATCH(B1057,'案件'!$A$6:$A$105,0))&amp;"","（案件シートに無い番号）"))</f>
        <v/>
      </c>
      <c r="D1057" s="36" t="n"/>
      <c r="E1057" s="38" t="n"/>
      <c r="F1057" s="39" t="n"/>
      <c r="G1057" s="36" t="n"/>
      <c r="H1057" s="40" t="n"/>
      <c r="I1057" s="40" t="n"/>
      <c r="J1057" s="41">
        <f>IF(ISNUMBER(H1057),H1057,IF(AND(D1057="労務費",TRIM(E1057)&lt;&gt;""),IFERROR(INDEX('設定'!$G$12:$G$31,MATCH(TRIM(E1057),'設定'!$J$12:$J$31,0)),""),""))</f>
        <v/>
      </c>
      <c r="K1057" s="30">
        <f>IF(AND(ISNUMBER(F1057),ISNUMBER(J1057)),ROUND(F1057*J1057,0),IF(ISNUMBER(I1057),I1057,""))</f>
        <v/>
      </c>
      <c r="L1057" s="33" t="n"/>
      <c r="M1057" s="34">
        <f>IF(COUNTA(A1057:B1057,D1057:I1057,L1057)=0,"",IF(B1057="","案件番号がありません",IF(ISNA(MATCH(B1057,'案件'!$A$6:$A$105,0)),"案件シートに無い番号です",IF(NOT(OR(D1057="材料費",D1057="労務費",D1057="外注費",D1057="経費")),"費目を4つから選んでください",IF(K1057="",IF(AND(ISNUMBER(F1057),NOT(ISNUMBER(J1057))),IF(D1057="労務費","単価がありません（設定の作業者名と同じ書き方に）","単価がありません"),IF(AND(ISNUMBER(J1057),NOT(ISNUMBER(F1057))),"数量がありません","金額がありません")),IF(NOT(ISNUMBER(A1057)),"日付がありません（月別集計に入りません）",IF(AND(ISNUMBER(F1057),ISNUMBER(J1057),ISNUMBER(I1057)),"数量×単価を使いました（金額の欄は使っていません）","")))))))</f>
        <v/>
      </c>
      <c r="N1057" s="91">
        <f>IF(AND(B1057&lt;&gt;"",B1057='案件カード'!$C$3),COUNTIF($B$5:B1057,'案件カード'!$C$3),"")</f>
        <v/>
      </c>
      <c r="O1057" s="91">
        <f>IF(ISNUMBER(K1057),IF(B1057="",K1057,IF(AND(ISNUMBER(MATCH(B1057,'案件'!$A$6:$A$105,0)),OR(D1057="材料費",D1057="労務費",D1057="外注費",D1057="経費")),0,K1057)),0)</f>
        <v/>
      </c>
    </row>
    <row r="1058" ht="16" customHeight="1">
      <c r="A1058" s="35" t="n"/>
      <c r="B1058" s="36" t="n"/>
      <c r="C1058" s="37">
        <f>IF(B1058="","",IFERROR(INDEX('案件'!$B$6:$B$105,MATCH(B1058,'案件'!$A$6:$A$105,0))&amp;"","（案件シートに無い番号）"))</f>
        <v/>
      </c>
      <c r="D1058" s="36" t="n"/>
      <c r="E1058" s="38" t="n"/>
      <c r="F1058" s="39" t="n"/>
      <c r="G1058" s="36" t="n"/>
      <c r="H1058" s="40" t="n"/>
      <c r="I1058" s="40" t="n"/>
      <c r="J1058" s="41">
        <f>IF(ISNUMBER(H1058),H1058,IF(AND(D1058="労務費",TRIM(E1058)&lt;&gt;""),IFERROR(INDEX('設定'!$G$12:$G$31,MATCH(TRIM(E1058),'設定'!$J$12:$J$31,0)),""),""))</f>
        <v/>
      </c>
      <c r="K1058" s="30">
        <f>IF(AND(ISNUMBER(F1058),ISNUMBER(J1058)),ROUND(F1058*J1058,0),IF(ISNUMBER(I1058),I1058,""))</f>
        <v/>
      </c>
      <c r="L1058" s="33" t="n"/>
      <c r="M1058" s="34">
        <f>IF(COUNTA(A1058:B1058,D1058:I1058,L1058)=0,"",IF(B1058="","案件番号がありません",IF(ISNA(MATCH(B1058,'案件'!$A$6:$A$105,0)),"案件シートに無い番号です",IF(NOT(OR(D1058="材料費",D1058="労務費",D1058="外注費",D1058="経費")),"費目を4つから選んでください",IF(K1058="",IF(AND(ISNUMBER(F1058),NOT(ISNUMBER(J1058))),IF(D1058="労務費","単価がありません（設定の作業者名と同じ書き方に）","単価がありません"),IF(AND(ISNUMBER(J1058),NOT(ISNUMBER(F1058))),"数量がありません","金額がありません")),IF(NOT(ISNUMBER(A1058)),"日付がありません（月別集計に入りません）",IF(AND(ISNUMBER(F1058),ISNUMBER(J1058),ISNUMBER(I1058)),"数量×単価を使いました（金額の欄は使っていません）","")))))))</f>
        <v/>
      </c>
      <c r="N1058" s="91">
        <f>IF(AND(B1058&lt;&gt;"",B1058='案件カード'!$C$3),COUNTIF($B$5:B1058,'案件カード'!$C$3),"")</f>
        <v/>
      </c>
      <c r="O1058" s="91">
        <f>IF(ISNUMBER(K1058),IF(B1058="",K1058,IF(AND(ISNUMBER(MATCH(B1058,'案件'!$A$6:$A$105,0)),OR(D1058="材料費",D1058="労務費",D1058="外注費",D1058="経費")),0,K1058)),0)</f>
        <v/>
      </c>
    </row>
    <row r="1059" ht="16" customHeight="1">
      <c r="A1059" s="35" t="n"/>
      <c r="B1059" s="36" t="n"/>
      <c r="C1059" s="37">
        <f>IF(B1059="","",IFERROR(INDEX('案件'!$B$6:$B$105,MATCH(B1059,'案件'!$A$6:$A$105,0))&amp;"","（案件シートに無い番号）"))</f>
        <v/>
      </c>
      <c r="D1059" s="36" t="n"/>
      <c r="E1059" s="38" t="n"/>
      <c r="F1059" s="39" t="n"/>
      <c r="G1059" s="36" t="n"/>
      <c r="H1059" s="40" t="n"/>
      <c r="I1059" s="40" t="n"/>
      <c r="J1059" s="41">
        <f>IF(ISNUMBER(H1059),H1059,IF(AND(D1059="労務費",TRIM(E1059)&lt;&gt;""),IFERROR(INDEX('設定'!$G$12:$G$31,MATCH(TRIM(E1059),'設定'!$J$12:$J$31,0)),""),""))</f>
        <v/>
      </c>
      <c r="K1059" s="30">
        <f>IF(AND(ISNUMBER(F1059),ISNUMBER(J1059)),ROUND(F1059*J1059,0),IF(ISNUMBER(I1059),I1059,""))</f>
        <v/>
      </c>
      <c r="L1059" s="33" t="n"/>
      <c r="M1059" s="34">
        <f>IF(COUNTA(A1059:B1059,D1059:I1059,L1059)=0,"",IF(B1059="","案件番号がありません",IF(ISNA(MATCH(B1059,'案件'!$A$6:$A$105,0)),"案件シートに無い番号です",IF(NOT(OR(D1059="材料費",D1059="労務費",D1059="外注費",D1059="経費")),"費目を4つから選んでください",IF(K1059="",IF(AND(ISNUMBER(F1059),NOT(ISNUMBER(J1059))),IF(D1059="労務費","単価がありません（設定の作業者名と同じ書き方に）","単価がありません"),IF(AND(ISNUMBER(J1059),NOT(ISNUMBER(F1059))),"数量がありません","金額がありません")),IF(NOT(ISNUMBER(A1059)),"日付がありません（月別集計に入りません）",IF(AND(ISNUMBER(F1059),ISNUMBER(J1059),ISNUMBER(I1059)),"数量×単価を使いました（金額の欄は使っていません）","")))))))</f>
        <v/>
      </c>
      <c r="N1059" s="91">
        <f>IF(AND(B1059&lt;&gt;"",B1059='案件カード'!$C$3),COUNTIF($B$5:B1059,'案件カード'!$C$3),"")</f>
        <v/>
      </c>
      <c r="O1059" s="91">
        <f>IF(ISNUMBER(K1059),IF(B1059="",K1059,IF(AND(ISNUMBER(MATCH(B1059,'案件'!$A$6:$A$105,0)),OR(D1059="材料費",D1059="労務費",D1059="外注費",D1059="経費")),0,K1059)),0)</f>
        <v/>
      </c>
    </row>
    <row r="1060" ht="16" customHeight="1">
      <c r="A1060" s="35" t="n"/>
      <c r="B1060" s="36" t="n"/>
      <c r="C1060" s="37">
        <f>IF(B1060="","",IFERROR(INDEX('案件'!$B$6:$B$105,MATCH(B1060,'案件'!$A$6:$A$105,0))&amp;"","（案件シートに無い番号）"))</f>
        <v/>
      </c>
      <c r="D1060" s="36" t="n"/>
      <c r="E1060" s="38" t="n"/>
      <c r="F1060" s="39" t="n"/>
      <c r="G1060" s="36" t="n"/>
      <c r="H1060" s="40" t="n"/>
      <c r="I1060" s="40" t="n"/>
      <c r="J1060" s="41">
        <f>IF(ISNUMBER(H1060),H1060,IF(AND(D1060="労務費",TRIM(E1060)&lt;&gt;""),IFERROR(INDEX('設定'!$G$12:$G$31,MATCH(TRIM(E1060),'設定'!$J$12:$J$31,0)),""),""))</f>
        <v/>
      </c>
      <c r="K1060" s="30">
        <f>IF(AND(ISNUMBER(F1060),ISNUMBER(J1060)),ROUND(F1060*J1060,0),IF(ISNUMBER(I1060),I1060,""))</f>
        <v/>
      </c>
      <c r="L1060" s="33" t="n"/>
      <c r="M1060" s="34">
        <f>IF(COUNTA(A1060:B1060,D1060:I1060,L1060)=0,"",IF(B1060="","案件番号がありません",IF(ISNA(MATCH(B1060,'案件'!$A$6:$A$105,0)),"案件シートに無い番号です",IF(NOT(OR(D1060="材料費",D1060="労務費",D1060="外注費",D1060="経費")),"費目を4つから選んでください",IF(K1060="",IF(AND(ISNUMBER(F1060),NOT(ISNUMBER(J1060))),IF(D1060="労務費","単価がありません（設定の作業者名と同じ書き方に）","単価がありません"),IF(AND(ISNUMBER(J1060),NOT(ISNUMBER(F1060))),"数量がありません","金額がありません")),IF(NOT(ISNUMBER(A1060)),"日付がありません（月別集計に入りません）",IF(AND(ISNUMBER(F1060),ISNUMBER(J1060),ISNUMBER(I1060)),"数量×単価を使いました（金額の欄は使っていません）","")))))))</f>
        <v/>
      </c>
      <c r="N1060" s="91">
        <f>IF(AND(B1060&lt;&gt;"",B1060='案件カード'!$C$3),COUNTIF($B$5:B1060,'案件カード'!$C$3),"")</f>
        <v/>
      </c>
      <c r="O1060" s="91">
        <f>IF(ISNUMBER(K1060),IF(B1060="",K1060,IF(AND(ISNUMBER(MATCH(B1060,'案件'!$A$6:$A$105,0)),OR(D1060="材料費",D1060="労務費",D1060="外注費",D1060="経費")),0,K1060)),0)</f>
        <v/>
      </c>
    </row>
    <row r="1061" ht="16" customHeight="1">
      <c r="A1061" s="35" t="n"/>
      <c r="B1061" s="36" t="n"/>
      <c r="C1061" s="37">
        <f>IF(B1061="","",IFERROR(INDEX('案件'!$B$6:$B$105,MATCH(B1061,'案件'!$A$6:$A$105,0))&amp;"","（案件シートに無い番号）"))</f>
        <v/>
      </c>
      <c r="D1061" s="36" t="n"/>
      <c r="E1061" s="38" t="n"/>
      <c r="F1061" s="39" t="n"/>
      <c r="G1061" s="36" t="n"/>
      <c r="H1061" s="40" t="n"/>
      <c r="I1061" s="40" t="n"/>
      <c r="J1061" s="41">
        <f>IF(ISNUMBER(H1061),H1061,IF(AND(D1061="労務費",TRIM(E1061)&lt;&gt;""),IFERROR(INDEX('設定'!$G$12:$G$31,MATCH(TRIM(E1061),'設定'!$J$12:$J$31,0)),""),""))</f>
        <v/>
      </c>
      <c r="K1061" s="30">
        <f>IF(AND(ISNUMBER(F1061),ISNUMBER(J1061)),ROUND(F1061*J1061,0),IF(ISNUMBER(I1061),I1061,""))</f>
        <v/>
      </c>
      <c r="L1061" s="33" t="n"/>
      <c r="M1061" s="34">
        <f>IF(COUNTA(A1061:B1061,D1061:I1061,L1061)=0,"",IF(B1061="","案件番号がありません",IF(ISNA(MATCH(B1061,'案件'!$A$6:$A$105,0)),"案件シートに無い番号です",IF(NOT(OR(D1061="材料費",D1061="労務費",D1061="外注費",D1061="経費")),"費目を4つから選んでください",IF(K1061="",IF(AND(ISNUMBER(F1061),NOT(ISNUMBER(J1061))),IF(D1061="労務費","単価がありません（設定の作業者名と同じ書き方に）","単価がありません"),IF(AND(ISNUMBER(J1061),NOT(ISNUMBER(F1061))),"数量がありません","金額がありません")),IF(NOT(ISNUMBER(A1061)),"日付がありません（月別集計に入りません）",IF(AND(ISNUMBER(F1061),ISNUMBER(J1061),ISNUMBER(I1061)),"数量×単価を使いました（金額の欄は使っていません）","")))))))</f>
        <v/>
      </c>
      <c r="N1061" s="91">
        <f>IF(AND(B1061&lt;&gt;"",B1061='案件カード'!$C$3),COUNTIF($B$5:B1061,'案件カード'!$C$3),"")</f>
        <v/>
      </c>
      <c r="O1061" s="91">
        <f>IF(ISNUMBER(K1061),IF(B1061="",K1061,IF(AND(ISNUMBER(MATCH(B1061,'案件'!$A$6:$A$105,0)),OR(D1061="材料費",D1061="労務費",D1061="外注費",D1061="経費")),0,K1061)),0)</f>
        <v/>
      </c>
    </row>
    <row r="1062" ht="16" customHeight="1">
      <c r="A1062" s="35" t="n"/>
      <c r="B1062" s="36" t="n"/>
      <c r="C1062" s="37">
        <f>IF(B1062="","",IFERROR(INDEX('案件'!$B$6:$B$105,MATCH(B1062,'案件'!$A$6:$A$105,0))&amp;"","（案件シートに無い番号）"))</f>
        <v/>
      </c>
      <c r="D1062" s="36" t="n"/>
      <c r="E1062" s="38" t="n"/>
      <c r="F1062" s="39" t="n"/>
      <c r="G1062" s="36" t="n"/>
      <c r="H1062" s="40" t="n"/>
      <c r="I1062" s="40" t="n"/>
      <c r="J1062" s="41">
        <f>IF(ISNUMBER(H1062),H1062,IF(AND(D1062="労務費",TRIM(E1062)&lt;&gt;""),IFERROR(INDEX('設定'!$G$12:$G$31,MATCH(TRIM(E1062),'設定'!$J$12:$J$31,0)),""),""))</f>
        <v/>
      </c>
      <c r="K1062" s="30">
        <f>IF(AND(ISNUMBER(F1062),ISNUMBER(J1062)),ROUND(F1062*J1062,0),IF(ISNUMBER(I1062),I1062,""))</f>
        <v/>
      </c>
      <c r="L1062" s="33" t="n"/>
      <c r="M1062" s="34">
        <f>IF(COUNTA(A1062:B1062,D1062:I1062,L1062)=0,"",IF(B1062="","案件番号がありません",IF(ISNA(MATCH(B1062,'案件'!$A$6:$A$105,0)),"案件シートに無い番号です",IF(NOT(OR(D1062="材料費",D1062="労務費",D1062="外注費",D1062="経費")),"費目を4つから選んでください",IF(K1062="",IF(AND(ISNUMBER(F1062),NOT(ISNUMBER(J1062))),IF(D1062="労務費","単価がありません（設定の作業者名と同じ書き方に）","単価がありません"),IF(AND(ISNUMBER(J1062),NOT(ISNUMBER(F1062))),"数量がありません","金額がありません")),IF(NOT(ISNUMBER(A1062)),"日付がありません（月別集計に入りません）",IF(AND(ISNUMBER(F1062),ISNUMBER(J1062),ISNUMBER(I1062)),"数量×単価を使いました（金額の欄は使っていません）","")))))))</f>
        <v/>
      </c>
      <c r="N1062" s="91">
        <f>IF(AND(B1062&lt;&gt;"",B1062='案件カード'!$C$3),COUNTIF($B$5:B1062,'案件カード'!$C$3),"")</f>
        <v/>
      </c>
      <c r="O1062" s="91">
        <f>IF(ISNUMBER(K1062),IF(B1062="",K1062,IF(AND(ISNUMBER(MATCH(B1062,'案件'!$A$6:$A$105,0)),OR(D1062="材料費",D1062="労務費",D1062="外注費",D1062="経費")),0,K1062)),0)</f>
        <v/>
      </c>
    </row>
    <row r="1063" ht="16" customHeight="1">
      <c r="A1063" s="35" t="n"/>
      <c r="B1063" s="36" t="n"/>
      <c r="C1063" s="37">
        <f>IF(B1063="","",IFERROR(INDEX('案件'!$B$6:$B$105,MATCH(B1063,'案件'!$A$6:$A$105,0))&amp;"","（案件シートに無い番号）"))</f>
        <v/>
      </c>
      <c r="D1063" s="36" t="n"/>
      <c r="E1063" s="38" t="n"/>
      <c r="F1063" s="39" t="n"/>
      <c r="G1063" s="36" t="n"/>
      <c r="H1063" s="40" t="n"/>
      <c r="I1063" s="40" t="n"/>
      <c r="J1063" s="41">
        <f>IF(ISNUMBER(H1063),H1063,IF(AND(D1063="労務費",TRIM(E1063)&lt;&gt;""),IFERROR(INDEX('設定'!$G$12:$G$31,MATCH(TRIM(E1063),'設定'!$J$12:$J$31,0)),""),""))</f>
        <v/>
      </c>
      <c r="K1063" s="30">
        <f>IF(AND(ISNUMBER(F1063),ISNUMBER(J1063)),ROUND(F1063*J1063,0),IF(ISNUMBER(I1063),I1063,""))</f>
        <v/>
      </c>
      <c r="L1063" s="33" t="n"/>
      <c r="M1063" s="34">
        <f>IF(COUNTA(A1063:B1063,D1063:I1063,L1063)=0,"",IF(B1063="","案件番号がありません",IF(ISNA(MATCH(B1063,'案件'!$A$6:$A$105,0)),"案件シートに無い番号です",IF(NOT(OR(D1063="材料費",D1063="労務費",D1063="外注費",D1063="経費")),"費目を4つから選んでください",IF(K1063="",IF(AND(ISNUMBER(F1063),NOT(ISNUMBER(J1063))),IF(D1063="労務費","単価がありません（設定の作業者名と同じ書き方に）","単価がありません"),IF(AND(ISNUMBER(J1063),NOT(ISNUMBER(F1063))),"数量がありません","金額がありません")),IF(NOT(ISNUMBER(A1063)),"日付がありません（月別集計に入りません）",IF(AND(ISNUMBER(F1063),ISNUMBER(J1063),ISNUMBER(I1063)),"数量×単価を使いました（金額の欄は使っていません）","")))))))</f>
        <v/>
      </c>
      <c r="N1063" s="91">
        <f>IF(AND(B1063&lt;&gt;"",B1063='案件カード'!$C$3),COUNTIF($B$5:B1063,'案件カード'!$C$3),"")</f>
        <v/>
      </c>
      <c r="O1063" s="91">
        <f>IF(ISNUMBER(K1063),IF(B1063="",K1063,IF(AND(ISNUMBER(MATCH(B1063,'案件'!$A$6:$A$105,0)),OR(D1063="材料費",D1063="労務費",D1063="外注費",D1063="経費")),0,K1063)),0)</f>
        <v/>
      </c>
    </row>
    <row r="1064" ht="16" customHeight="1">
      <c r="A1064" s="35" t="n"/>
      <c r="B1064" s="36" t="n"/>
      <c r="C1064" s="37">
        <f>IF(B1064="","",IFERROR(INDEX('案件'!$B$6:$B$105,MATCH(B1064,'案件'!$A$6:$A$105,0))&amp;"","（案件シートに無い番号）"))</f>
        <v/>
      </c>
      <c r="D1064" s="36" t="n"/>
      <c r="E1064" s="38" t="n"/>
      <c r="F1064" s="39" t="n"/>
      <c r="G1064" s="36" t="n"/>
      <c r="H1064" s="40" t="n"/>
      <c r="I1064" s="40" t="n"/>
      <c r="J1064" s="41">
        <f>IF(ISNUMBER(H1064),H1064,IF(AND(D1064="労務費",TRIM(E1064)&lt;&gt;""),IFERROR(INDEX('設定'!$G$12:$G$31,MATCH(TRIM(E1064),'設定'!$J$12:$J$31,0)),""),""))</f>
        <v/>
      </c>
      <c r="K1064" s="30">
        <f>IF(AND(ISNUMBER(F1064),ISNUMBER(J1064)),ROUND(F1064*J1064,0),IF(ISNUMBER(I1064),I1064,""))</f>
        <v/>
      </c>
      <c r="L1064" s="33" t="n"/>
      <c r="M1064" s="34">
        <f>IF(COUNTA(A1064:B1064,D1064:I1064,L1064)=0,"",IF(B1064="","案件番号がありません",IF(ISNA(MATCH(B1064,'案件'!$A$6:$A$105,0)),"案件シートに無い番号です",IF(NOT(OR(D1064="材料費",D1064="労務費",D1064="外注費",D1064="経費")),"費目を4つから選んでください",IF(K1064="",IF(AND(ISNUMBER(F1064),NOT(ISNUMBER(J1064))),IF(D1064="労務費","単価がありません（設定の作業者名と同じ書き方に）","単価がありません"),IF(AND(ISNUMBER(J1064),NOT(ISNUMBER(F1064))),"数量がありません","金額がありません")),IF(NOT(ISNUMBER(A1064)),"日付がありません（月別集計に入りません）",IF(AND(ISNUMBER(F1064),ISNUMBER(J1064),ISNUMBER(I1064)),"数量×単価を使いました（金額の欄は使っていません）","")))))))</f>
        <v/>
      </c>
      <c r="N1064" s="91">
        <f>IF(AND(B1064&lt;&gt;"",B1064='案件カード'!$C$3),COUNTIF($B$5:B1064,'案件カード'!$C$3),"")</f>
        <v/>
      </c>
      <c r="O1064" s="91">
        <f>IF(ISNUMBER(K1064),IF(B1064="",K1064,IF(AND(ISNUMBER(MATCH(B1064,'案件'!$A$6:$A$105,0)),OR(D1064="材料費",D1064="労務費",D1064="外注費",D1064="経費")),0,K1064)),0)</f>
        <v/>
      </c>
    </row>
    <row r="1065" ht="16" customHeight="1">
      <c r="A1065" s="35" t="n"/>
      <c r="B1065" s="36" t="n"/>
      <c r="C1065" s="37">
        <f>IF(B1065="","",IFERROR(INDEX('案件'!$B$6:$B$105,MATCH(B1065,'案件'!$A$6:$A$105,0))&amp;"","（案件シートに無い番号）"))</f>
        <v/>
      </c>
      <c r="D1065" s="36" t="n"/>
      <c r="E1065" s="38" t="n"/>
      <c r="F1065" s="39" t="n"/>
      <c r="G1065" s="36" t="n"/>
      <c r="H1065" s="40" t="n"/>
      <c r="I1065" s="40" t="n"/>
      <c r="J1065" s="41">
        <f>IF(ISNUMBER(H1065),H1065,IF(AND(D1065="労務費",TRIM(E1065)&lt;&gt;""),IFERROR(INDEX('設定'!$G$12:$G$31,MATCH(TRIM(E1065),'設定'!$J$12:$J$31,0)),""),""))</f>
        <v/>
      </c>
      <c r="K1065" s="30">
        <f>IF(AND(ISNUMBER(F1065),ISNUMBER(J1065)),ROUND(F1065*J1065,0),IF(ISNUMBER(I1065),I1065,""))</f>
        <v/>
      </c>
      <c r="L1065" s="33" t="n"/>
      <c r="M1065" s="34">
        <f>IF(COUNTA(A1065:B1065,D1065:I1065,L1065)=0,"",IF(B1065="","案件番号がありません",IF(ISNA(MATCH(B1065,'案件'!$A$6:$A$105,0)),"案件シートに無い番号です",IF(NOT(OR(D1065="材料費",D1065="労務費",D1065="外注費",D1065="経費")),"費目を4つから選んでください",IF(K1065="",IF(AND(ISNUMBER(F1065),NOT(ISNUMBER(J1065))),IF(D1065="労務費","単価がありません（設定の作業者名と同じ書き方に）","単価がありません"),IF(AND(ISNUMBER(J1065),NOT(ISNUMBER(F1065))),"数量がありません","金額がありません")),IF(NOT(ISNUMBER(A1065)),"日付がありません（月別集計に入りません）",IF(AND(ISNUMBER(F1065),ISNUMBER(J1065),ISNUMBER(I1065)),"数量×単価を使いました（金額の欄は使っていません）","")))))))</f>
        <v/>
      </c>
      <c r="N1065" s="91">
        <f>IF(AND(B1065&lt;&gt;"",B1065='案件カード'!$C$3),COUNTIF($B$5:B1065,'案件カード'!$C$3),"")</f>
        <v/>
      </c>
      <c r="O1065" s="91">
        <f>IF(ISNUMBER(K1065),IF(B1065="",K1065,IF(AND(ISNUMBER(MATCH(B1065,'案件'!$A$6:$A$105,0)),OR(D1065="材料費",D1065="労務費",D1065="外注費",D1065="経費")),0,K1065)),0)</f>
        <v/>
      </c>
    </row>
    <row r="1066" ht="16" customHeight="1">
      <c r="A1066" s="35" t="n"/>
      <c r="B1066" s="36" t="n"/>
      <c r="C1066" s="37">
        <f>IF(B1066="","",IFERROR(INDEX('案件'!$B$6:$B$105,MATCH(B1066,'案件'!$A$6:$A$105,0))&amp;"","（案件シートに無い番号）"))</f>
        <v/>
      </c>
      <c r="D1066" s="36" t="n"/>
      <c r="E1066" s="38" t="n"/>
      <c r="F1066" s="39" t="n"/>
      <c r="G1066" s="36" t="n"/>
      <c r="H1066" s="40" t="n"/>
      <c r="I1066" s="40" t="n"/>
      <c r="J1066" s="41">
        <f>IF(ISNUMBER(H1066),H1066,IF(AND(D1066="労務費",TRIM(E1066)&lt;&gt;""),IFERROR(INDEX('設定'!$G$12:$G$31,MATCH(TRIM(E1066),'設定'!$J$12:$J$31,0)),""),""))</f>
        <v/>
      </c>
      <c r="K1066" s="30">
        <f>IF(AND(ISNUMBER(F1066),ISNUMBER(J1066)),ROUND(F1066*J1066,0),IF(ISNUMBER(I1066),I1066,""))</f>
        <v/>
      </c>
      <c r="L1066" s="33" t="n"/>
      <c r="M1066" s="34">
        <f>IF(COUNTA(A1066:B1066,D1066:I1066,L1066)=0,"",IF(B1066="","案件番号がありません",IF(ISNA(MATCH(B1066,'案件'!$A$6:$A$105,0)),"案件シートに無い番号です",IF(NOT(OR(D1066="材料費",D1066="労務費",D1066="外注費",D1066="経費")),"費目を4つから選んでください",IF(K1066="",IF(AND(ISNUMBER(F1066),NOT(ISNUMBER(J1066))),IF(D1066="労務費","単価がありません（設定の作業者名と同じ書き方に）","単価がありません"),IF(AND(ISNUMBER(J1066),NOT(ISNUMBER(F1066))),"数量がありません","金額がありません")),IF(NOT(ISNUMBER(A1066)),"日付がありません（月別集計に入りません）",IF(AND(ISNUMBER(F1066),ISNUMBER(J1066),ISNUMBER(I1066)),"数量×単価を使いました（金額の欄は使っていません）","")))))))</f>
        <v/>
      </c>
      <c r="N1066" s="91">
        <f>IF(AND(B1066&lt;&gt;"",B1066='案件カード'!$C$3),COUNTIF($B$5:B1066,'案件カード'!$C$3),"")</f>
        <v/>
      </c>
      <c r="O1066" s="91">
        <f>IF(ISNUMBER(K1066),IF(B1066="",K1066,IF(AND(ISNUMBER(MATCH(B1066,'案件'!$A$6:$A$105,0)),OR(D1066="材料費",D1066="労務費",D1066="外注費",D1066="経費")),0,K1066)),0)</f>
        <v/>
      </c>
    </row>
    <row r="1067" ht="16" customHeight="1">
      <c r="A1067" s="35" t="n"/>
      <c r="B1067" s="36" t="n"/>
      <c r="C1067" s="37">
        <f>IF(B1067="","",IFERROR(INDEX('案件'!$B$6:$B$105,MATCH(B1067,'案件'!$A$6:$A$105,0))&amp;"","（案件シートに無い番号）"))</f>
        <v/>
      </c>
      <c r="D1067" s="36" t="n"/>
      <c r="E1067" s="38" t="n"/>
      <c r="F1067" s="39" t="n"/>
      <c r="G1067" s="36" t="n"/>
      <c r="H1067" s="40" t="n"/>
      <c r="I1067" s="40" t="n"/>
      <c r="J1067" s="41">
        <f>IF(ISNUMBER(H1067),H1067,IF(AND(D1067="労務費",TRIM(E1067)&lt;&gt;""),IFERROR(INDEX('設定'!$G$12:$G$31,MATCH(TRIM(E1067),'設定'!$J$12:$J$31,0)),""),""))</f>
        <v/>
      </c>
      <c r="K1067" s="30">
        <f>IF(AND(ISNUMBER(F1067),ISNUMBER(J1067)),ROUND(F1067*J1067,0),IF(ISNUMBER(I1067),I1067,""))</f>
        <v/>
      </c>
      <c r="L1067" s="33" t="n"/>
      <c r="M1067" s="34">
        <f>IF(COUNTA(A1067:B1067,D1067:I1067,L1067)=0,"",IF(B1067="","案件番号がありません",IF(ISNA(MATCH(B1067,'案件'!$A$6:$A$105,0)),"案件シートに無い番号です",IF(NOT(OR(D1067="材料費",D1067="労務費",D1067="外注費",D1067="経費")),"費目を4つから選んでください",IF(K1067="",IF(AND(ISNUMBER(F1067),NOT(ISNUMBER(J1067))),IF(D1067="労務費","単価がありません（設定の作業者名と同じ書き方に）","単価がありません"),IF(AND(ISNUMBER(J1067),NOT(ISNUMBER(F1067))),"数量がありません","金額がありません")),IF(NOT(ISNUMBER(A1067)),"日付がありません（月別集計に入りません）",IF(AND(ISNUMBER(F1067),ISNUMBER(J1067),ISNUMBER(I1067)),"数量×単価を使いました（金額の欄は使っていません）","")))))))</f>
        <v/>
      </c>
      <c r="N1067" s="91">
        <f>IF(AND(B1067&lt;&gt;"",B1067='案件カード'!$C$3),COUNTIF($B$5:B1067,'案件カード'!$C$3),"")</f>
        <v/>
      </c>
      <c r="O1067" s="91">
        <f>IF(ISNUMBER(K1067),IF(B1067="",K1067,IF(AND(ISNUMBER(MATCH(B1067,'案件'!$A$6:$A$105,0)),OR(D1067="材料費",D1067="労務費",D1067="外注費",D1067="経費")),0,K1067)),0)</f>
        <v/>
      </c>
    </row>
    <row r="1068" ht="16" customHeight="1">
      <c r="A1068" s="35" t="n"/>
      <c r="B1068" s="36" t="n"/>
      <c r="C1068" s="37">
        <f>IF(B1068="","",IFERROR(INDEX('案件'!$B$6:$B$105,MATCH(B1068,'案件'!$A$6:$A$105,0))&amp;"","（案件シートに無い番号）"))</f>
        <v/>
      </c>
      <c r="D1068" s="36" t="n"/>
      <c r="E1068" s="38" t="n"/>
      <c r="F1068" s="39" t="n"/>
      <c r="G1068" s="36" t="n"/>
      <c r="H1068" s="40" t="n"/>
      <c r="I1068" s="40" t="n"/>
      <c r="J1068" s="41">
        <f>IF(ISNUMBER(H1068),H1068,IF(AND(D1068="労務費",TRIM(E1068)&lt;&gt;""),IFERROR(INDEX('設定'!$G$12:$G$31,MATCH(TRIM(E1068),'設定'!$J$12:$J$31,0)),""),""))</f>
        <v/>
      </c>
      <c r="K1068" s="30">
        <f>IF(AND(ISNUMBER(F1068),ISNUMBER(J1068)),ROUND(F1068*J1068,0),IF(ISNUMBER(I1068),I1068,""))</f>
        <v/>
      </c>
      <c r="L1068" s="33" t="n"/>
      <c r="M1068" s="34">
        <f>IF(COUNTA(A1068:B1068,D1068:I1068,L1068)=0,"",IF(B1068="","案件番号がありません",IF(ISNA(MATCH(B1068,'案件'!$A$6:$A$105,0)),"案件シートに無い番号です",IF(NOT(OR(D1068="材料費",D1068="労務費",D1068="外注費",D1068="経費")),"費目を4つから選んでください",IF(K1068="",IF(AND(ISNUMBER(F1068),NOT(ISNUMBER(J1068))),IF(D1068="労務費","単価がありません（設定の作業者名と同じ書き方に）","単価がありません"),IF(AND(ISNUMBER(J1068),NOT(ISNUMBER(F1068))),"数量がありません","金額がありません")),IF(NOT(ISNUMBER(A1068)),"日付がありません（月別集計に入りません）",IF(AND(ISNUMBER(F1068),ISNUMBER(J1068),ISNUMBER(I1068)),"数量×単価を使いました（金額の欄は使っていません）","")))))))</f>
        <v/>
      </c>
      <c r="N1068" s="91">
        <f>IF(AND(B1068&lt;&gt;"",B1068='案件カード'!$C$3),COUNTIF($B$5:B1068,'案件カード'!$C$3),"")</f>
        <v/>
      </c>
      <c r="O1068" s="91">
        <f>IF(ISNUMBER(K1068),IF(B1068="",K1068,IF(AND(ISNUMBER(MATCH(B1068,'案件'!$A$6:$A$105,0)),OR(D1068="材料費",D1068="労務費",D1068="外注費",D1068="経費")),0,K1068)),0)</f>
        <v/>
      </c>
    </row>
    <row r="1069" ht="16" customHeight="1">
      <c r="A1069" s="35" t="n"/>
      <c r="B1069" s="36" t="n"/>
      <c r="C1069" s="37">
        <f>IF(B1069="","",IFERROR(INDEX('案件'!$B$6:$B$105,MATCH(B1069,'案件'!$A$6:$A$105,0))&amp;"","（案件シートに無い番号）"))</f>
        <v/>
      </c>
      <c r="D1069" s="36" t="n"/>
      <c r="E1069" s="38" t="n"/>
      <c r="F1069" s="39" t="n"/>
      <c r="G1069" s="36" t="n"/>
      <c r="H1069" s="40" t="n"/>
      <c r="I1069" s="40" t="n"/>
      <c r="J1069" s="41">
        <f>IF(ISNUMBER(H1069),H1069,IF(AND(D1069="労務費",TRIM(E1069)&lt;&gt;""),IFERROR(INDEX('設定'!$G$12:$G$31,MATCH(TRIM(E1069),'設定'!$J$12:$J$31,0)),""),""))</f>
        <v/>
      </c>
      <c r="K1069" s="30">
        <f>IF(AND(ISNUMBER(F1069),ISNUMBER(J1069)),ROUND(F1069*J1069,0),IF(ISNUMBER(I1069),I1069,""))</f>
        <v/>
      </c>
      <c r="L1069" s="33" t="n"/>
      <c r="M1069" s="34">
        <f>IF(COUNTA(A1069:B1069,D1069:I1069,L1069)=0,"",IF(B1069="","案件番号がありません",IF(ISNA(MATCH(B1069,'案件'!$A$6:$A$105,0)),"案件シートに無い番号です",IF(NOT(OR(D1069="材料費",D1069="労務費",D1069="外注費",D1069="経費")),"費目を4つから選んでください",IF(K1069="",IF(AND(ISNUMBER(F1069),NOT(ISNUMBER(J1069))),IF(D1069="労務費","単価がありません（設定の作業者名と同じ書き方に）","単価がありません"),IF(AND(ISNUMBER(J1069),NOT(ISNUMBER(F1069))),"数量がありません","金額がありません")),IF(NOT(ISNUMBER(A1069)),"日付がありません（月別集計に入りません）",IF(AND(ISNUMBER(F1069),ISNUMBER(J1069),ISNUMBER(I1069)),"数量×単価を使いました（金額の欄は使っていません）","")))))))</f>
        <v/>
      </c>
      <c r="N1069" s="91">
        <f>IF(AND(B1069&lt;&gt;"",B1069='案件カード'!$C$3),COUNTIF($B$5:B1069,'案件カード'!$C$3),"")</f>
        <v/>
      </c>
      <c r="O1069" s="91">
        <f>IF(ISNUMBER(K1069),IF(B1069="",K1069,IF(AND(ISNUMBER(MATCH(B1069,'案件'!$A$6:$A$105,0)),OR(D1069="材料費",D1069="労務費",D1069="外注費",D1069="経費")),0,K1069)),0)</f>
        <v/>
      </c>
    </row>
    <row r="1070" ht="16" customHeight="1">
      <c r="A1070" s="35" t="n"/>
      <c r="B1070" s="36" t="n"/>
      <c r="C1070" s="37">
        <f>IF(B1070="","",IFERROR(INDEX('案件'!$B$6:$B$105,MATCH(B1070,'案件'!$A$6:$A$105,0))&amp;"","（案件シートに無い番号）"))</f>
        <v/>
      </c>
      <c r="D1070" s="36" t="n"/>
      <c r="E1070" s="38" t="n"/>
      <c r="F1070" s="39" t="n"/>
      <c r="G1070" s="36" t="n"/>
      <c r="H1070" s="40" t="n"/>
      <c r="I1070" s="40" t="n"/>
      <c r="J1070" s="41">
        <f>IF(ISNUMBER(H1070),H1070,IF(AND(D1070="労務費",TRIM(E1070)&lt;&gt;""),IFERROR(INDEX('設定'!$G$12:$G$31,MATCH(TRIM(E1070),'設定'!$J$12:$J$31,0)),""),""))</f>
        <v/>
      </c>
      <c r="K1070" s="30">
        <f>IF(AND(ISNUMBER(F1070),ISNUMBER(J1070)),ROUND(F1070*J1070,0),IF(ISNUMBER(I1070),I1070,""))</f>
        <v/>
      </c>
      <c r="L1070" s="33" t="n"/>
      <c r="M1070" s="34">
        <f>IF(COUNTA(A1070:B1070,D1070:I1070,L1070)=0,"",IF(B1070="","案件番号がありません",IF(ISNA(MATCH(B1070,'案件'!$A$6:$A$105,0)),"案件シートに無い番号です",IF(NOT(OR(D1070="材料費",D1070="労務費",D1070="外注費",D1070="経費")),"費目を4つから選んでください",IF(K1070="",IF(AND(ISNUMBER(F1070),NOT(ISNUMBER(J1070))),IF(D1070="労務費","単価がありません（設定の作業者名と同じ書き方に）","単価がありません"),IF(AND(ISNUMBER(J1070),NOT(ISNUMBER(F1070))),"数量がありません","金額がありません")),IF(NOT(ISNUMBER(A1070)),"日付がありません（月別集計に入りません）",IF(AND(ISNUMBER(F1070),ISNUMBER(J1070),ISNUMBER(I1070)),"数量×単価を使いました（金額の欄は使っていません）","")))))))</f>
        <v/>
      </c>
      <c r="N1070" s="91">
        <f>IF(AND(B1070&lt;&gt;"",B1070='案件カード'!$C$3),COUNTIF($B$5:B1070,'案件カード'!$C$3),"")</f>
        <v/>
      </c>
      <c r="O1070" s="91">
        <f>IF(ISNUMBER(K1070),IF(B1070="",K1070,IF(AND(ISNUMBER(MATCH(B1070,'案件'!$A$6:$A$105,0)),OR(D1070="材料費",D1070="労務費",D1070="外注費",D1070="経費")),0,K1070)),0)</f>
        <v/>
      </c>
    </row>
    <row r="1071" ht="16" customHeight="1">
      <c r="A1071" s="35" t="n"/>
      <c r="B1071" s="36" t="n"/>
      <c r="C1071" s="37">
        <f>IF(B1071="","",IFERROR(INDEX('案件'!$B$6:$B$105,MATCH(B1071,'案件'!$A$6:$A$105,0))&amp;"","（案件シートに無い番号）"))</f>
        <v/>
      </c>
      <c r="D1071" s="36" t="n"/>
      <c r="E1071" s="38" t="n"/>
      <c r="F1071" s="39" t="n"/>
      <c r="G1071" s="36" t="n"/>
      <c r="H1071" s="40" t="n"/>
      <c r="I1071" s="40" t="n"/>
      <c r="J1071" s="41">
        <f>IF(ISNUMBER(H1071),H1071,IF(AND(D1071="労務費",TRIM(E1071)&lt;&gt;""),IFERROR(INDEX('設定'!$G$12:$G$31,MATCH(TRIM(E1071),'設定'!$J$12:$J$31,0)),""),""))</f>
        <v/>
      </c>
      <c r="K1071" s="30">
        <f>IF(AND(ISNUMBER(F1071),ISNUMBER(J1071)),ROUND(F1071*J1071,0),IF(ISNUMBER(I1071),I1071,""))</f>
        <v/>
      </c>
      <c r="L1071" s="33" t="n"/>
      <c r="M1071" s="34">
        <f>IF(COUNTA(A1071:B1071,D1071:I1071,L1071)=0,"",IF(B1071="","案件番号がありません",IF(ISNA(MATCH(B1071,'案件'!$A$6:$A$105,0)),"案件シートに無い番号です",IF(NOT(OR(D1071="材料費",D1071="労務費",D1071="外注費",D1071="経費")),"費目を4つから選んでください",IF(K1071="",IF(AND(ISNUMBER(F1071),NOT(ISNUMBER(J1071))),IF(D1071="労務費","単価がありません（設定の作業者名と同じ書き方に）","単価がありません"),IF(AND(ISNUMBER(J1071),NOT(ISNUMBER(F1071))),"数量がありません","金額がありません")),IF(NOT(ISNUMBER(A1071)),"日付がありません（月別集計に入りません）",IF(AND(ISNUMBER(F1071),ISNUMBER(J1071),ISNUMBER(I1071)),"数量×単価を使いました（金額の欄は使っていません）","")))))))</f>
        <v/>
      </c>
      <c r="N1071" s="91">
        <f>IF(AND(B1071&lt;&gt;"",B1071='案件カード'!$C$3),COUNTIF($B$5:B1071,'案件カード'!$C$3),"")</f>
        <v/>
      </c>
      <c r="O1071" s="91">
        <f>IF(ISNUMBER(K1071),IF(B1071="",K1071,IF(AND(ISNUMBER(MATCH(B1071,'案件'!$A$6:$A$105,0)),OR(D1071="材料費",D1071="労務費",D1071="外注費",D1071="経費")),0,K1071)),0)</f>
        <v/>
      </c>
    </row>
    <row r="1072" ht="16" customHeight="1">
      <c r="A1072" s="35" t="n"/>
      <c r="B1072" s="36" t="n"/>
      <c r="C1072" s="37">
        <f>IF(B1072="","",IFERROR(INDEX('案件'!$B$6:$B$105,MATCH(B1072,'案件'!$A$6:$A$105,0))&amp;"","（案件シートに無い番号）"))</f>
        <v/>
      </c>
      <c r="D1072" s="36" t="n"/>
      <c r="E1072" s="38" t="n"/>
      <c r="F1072" s="39" t="n"/>
      <c r="G1072" s="36" t="n"/>
      <c r="H1072" s="40" t="n"/>
      <c r="I1072" s="40" t="n"/>
      <c r="J1072" s="41">
        <f>IF(ISNUMBER(H1072),H1072,IF(AND(D1072="労務費",TRIM(E1072)&lt;&gt;""),IFERROR(INDEX('設定'!$G$12:$G$31,MATCH(TRIM(E1072),'設定'!$J$12:$J$31,0)),""),""))</f>
        <v/>
      </c>
      <c r="K1072" s="30">
        <f>IF(AND(ISNUMBER(F1072),ISNUMBER(J1072)),ROUND(F1072*J1072,0),IF(ISNUMBER(I1072),I1072,""))</f>
        <v/>
      </c>
      <c r="L1072" s="33" t="n"/>
      <c r="M1072" s="34">
        <f>IF(COUNTA(A1072:B1072,D1072:I1072,L1072)=0,"",IF(B1072="","案件番号がありません",IF(ISNA(MATCH(B1072,'案件'!$A$6:$A$105,0)),"案件シートに無い番号です",IF(NOT(OR(D1072="材料費",D1072="労務費",D1072="外注費",D1072="経費")),"費目を4つから選んでください",IF(K1072="",IF(AND(ISNUMBER(F1072),NOT(ISNUMBER(J1072))),IF(D1072="労務費","単価がありません（設定の作業者名と同じ書き方に）","単価がありません"),IF(AND(ISNUMBER(J1072),NOT(ISNUMBER(F1072))),"数量がありません","金額がありません")),IF(NOT(ISNUMBER(A1072)),"日付がありません（月別集計に入りません）",IF(AND(ISNUMBER(F1072),ISNUMBER(J1072),ISNUMBER(I1072)),"数量×単価を使いました（金額の欄は使っていません）","")))))))</f>
        <v/>
      </c>
      <c r="N1072" s="91">
        <f>IF(AND(B1072&lt;&gt;"",B1072='案件カード'!$C$3),COUNTIF($B$5:B1072,'案件カード'!$C$3),"")</f>
        <v/>
      </c>
      <c r="O1072" s="91">
        <f>IF(ISNUMBER(K1072),IF(B1072="",K1072,IF(AND(ISNUMBER(MATCH(B1072,'案件'!$A$6:$A$105,0)),OR(D1072="材料費",D1072="労務費",D1072="外注費",D1072="経費")),0,K1072)),0)</f>
        <v/>
      </c>
    </row>
    <row r="1073" ht="16" customHeight="1">
      <c r="A1073" s="35" t="n"/>
      <c r="B1073" s="36" t="n"/>
      <c r="C1073" s="37">
        <f>IF(B1073="","",IFERROR(INDEX('案件'!$B$6:$B$105,MATCH(B1073,'案件'!$A$6:$A$105,0))&amp;"","（案件シートに無い番号）"))</f>
        <v/>
      </c>
      <c r="D1073" s="36" t="n"/>
      <c r="E1073" s="38" t="n"/>
      <c r="F1073" s="39" t="n"/>
      <c r="G1073" s="36" t="n"/>
      <c r="H1073" s="40" t="n"/>
      <c r="I1073" s="40" t="n"/>
      <c r="J1073" s="41">
        <f>IF(ISNUMBER(H1073),H1073,IF(AND(D1073="労務費",TRIM(E1073)&lt;&gt;""),IFERROR(INDEX('設定'!$G$12:$G$31,MATCH(TRIM(E1073),'設定'!$J$12:$J$31,0)),""),""))</f>
        <v/>
      </c>
      <c r="K1073" s="30">
        <f>IF(AND(ISNUMBER(F1073),ISNUMBER(J1073)),ROUND(F1073*J1073,0),IF(ISNUMBER(I1073),I1073,""))</f>
        <v/>
      </c>
      <c r="L1073" s="33" t="n"/>
      <c r="M1073" s="34">
        <f>IF(COUNTA(A1073:B1073,D1073:I1073,L1073)=0,"",IF(B1073="","案件番号がありません",IF(ISNA(MATCH(B1073,'案件'!$A$6:$A$105,0)),"案件シートに無い番号です",IF(NOT(OR(D1073="材料費",D1073="労務費",D1073="外注費",D1073="経費")),"費目を4つから選んでください",IF(K1073="",IF(AND(ISNUMBER(F1073),NOT(ISNUMBER(J1073))),IF(D1073="労務費","単価がありません（設定の作業者名と同じ書き方に）","単価がありません"),IF(AND(ISNUMBER(J1073),NOT(ISNUMBER(F1073))),"数量がありません","金額がありません")),IF(NOT(ISNUMBER(A1073)),"日付がありません（月別集計に入りません）",IF(AND(ISNUMBER(F1073),ISNUMBER(J1073),ISNUMBER(I1073)),"数量×単価を使いました（金額の欄は使っていません）","")))))))</f>
        <v/>
      </c>
      <c r="N1073" s="91">
        <f>IF(AND(B1073&lt;&gt;"",B1073='案件カード'!$C$3),COUNTIF($B$5:B1073,'案件カード'!$C$3),"")</f>
        <v/>
      </c>
      <c r="O1073" s="91">
        <f>IF(ISNUMBER(K1073),IF(B1073="",K1073,IF(AND(ISNUMBER(MATCH(B1073,'案件'!$A$6:$A$105,0)),OR(D1073="材料費",D1073="労務費",D1073="外注費",D1073="経費")),0,K1073)),0)</f>
        <v/>
      </c>
    </row>
    <row r="1074" ht="16" customHeight="1">
      <c r="A1074" s="35" t="n"/>
      <c r="B1074" s="36" t="n"/>
      <c r="C1074" s="37">
        <f>IF(B1074="","",IFERROR(INDEX('案件'!$B$6:$B$105,MATCH(B1074,'案件'!$A$6:$A$105,0))&amp;"","（案件シートに無い番号）"))</f>
        <v/>
      </c>
      <c r="D1074" s="36" t="n"/>
      <c r="E1074" s="38" t="n"/>
      <c r="F1074" s="39" t="n"/>
      <c r="G1074" s="36" t="n"/>
      <c r="H1074" s="40" t="n"/>
      <c r="I1074" s="40" t="n"/>
      <c r="J1074" s="41">
        <f>IF(ISNUMBER(H1074),H1074,IF(AND(D1074="労務費",TRIM(E1074)&lt;&gt;""),IFERROR(INDEX('設定'!$G$12:$G$31,MATCH(TRIM(E1074),'設定'!$J$12:$J$31,0)),""),""))</f>
        <v/>
      </c>
      <c r="K1074" s="30">
        <f>IF(AND(ISNUMBER(F1074),ISNUMBER(J1074)),ROUND(F1074*J1074,0),IF(ISNUMBER(I1074),I1074,""))</f>
        <v/>
      </c>
      <c r="L1074" s="33" t="n"/>
      <c r="M1074" s="34">
        <f>IF(COUNTA(A1074:B1074,D1074:I1074,L1074)=0,"",IF(B1074="","案件番号がありません",IF(ISNA(MATCH(B1074,'案件'!$A$6:$A$105,0)),"案件シートに無い番号です",IF(NOT(OR(D1074="材料費",D1074="労務費",D1074="外注費",D1074="経費")),"費目を4つから選んでください",IF(K1074="",IF(AND(ISNUMBER(F1074),NOT(ISNUMBER(J1074))),IF(D1074="労務費","単価がありません（設定の作業者名と同じ書き方に）","単価がありません"),IF(AND(ISNUMBER(J1074),NOT(ISNUMBER(F1074))),"数量がありません","金額がありません")),IF(NOT(ISNUMBER(A1074)),"日付がありません（月別集計に入りません）",IF(AND(ISNUMBER(F1074),ISNUMBER(J1074),ISNUMBER(I1074)),"数量×単価を使いました（金額の欄は使っていません）","")))))))</f>
        <v/>
      </c>
      <c r="N1074" s="91">
        <f>IF(AND(B1074&lt;&gt;"",B1074='案件カード'!$C$3),COUNTIF($B$5:B1074,'案件カード'!$C$3),"")</f>
        <v/>
      </c>
      <c r="O1074" s="91">
        <f>IF(ISNUMBER(K1074),IF(B1074="",K1074,IF(AND(ISNUMBER(MATCH(B1074,'案件'!$A$6:$A$105,0)),OR(D1074="材料費",D1074="労務費",D1074="外注費",D1074="経費")),0,K1074)),0)</f>
        <v/>
      </c>
    </row>
    <row r="1075" ht="16" customHeight="1">
      <c r="A1075" s="35" t="n"/>
      <c r="B1075" s="36" t="n"/>
      <c r="C1075" s="37">
        <f>IF(B1075="","",IFERROR(INDEX('案件'!$B$6:$B$105,MATCH(B1075,'案件'!$A$6:$A$105,0))&amp;"","（案件シートに無い番号）"))</f>
        <v/>
      </c>
      <c r="D1075" s="36" t="n"/>
      <c r="E1075" s="38" t="n"/>
      <c r="F1075" s="39" t="n"/>
      <c r="G1075" s="36" t="n"/>
      <c r="H1075" s="40" t="n"/>
      <c r="I1075" s="40" t="n"/>
      <c r="J1075" s="41">
        <f>IF(ISNUMBER(H1075),H1075,IF(AND(D1075="労務費",TRIM(E1075)&lt;&gt;""),IFERROR(INDEX('設定'!$G$12:$G$31,MATCH(TRIM(E1075),'設定'!$J$12:$J$31,0)),""),""))</f>
        <v/>
      </c>
      <c r="K1075" s="30">
        <f>IF(AND(ISNUMBER(F1075),ISNUMBER(J1075)),ROUND(F1075*J1075,0),IF(ISNUMBER(I1075),I1075,""))</f>
        <v/>
      </c>
      <c r="L1075" s="33" t="n"/>
      <c r="M1075" s="34">
        <f>IF(COUNTA(A1075:B1075,D1075:I1075,L1075)=0,"",IF(B1075="","案件番号がありません",IF(ISNA(MATCH(B1075,'案件'!$A$6:$A$105,0)),"案件シートに無い番号です",IF(NOT(OR(D1075="材料費",D1075="労務費",D1075="外注費",D1075="経費")),"費目を4つから選んでください",IF(K1075="",IF(AND(ISNUMBER(F1075),NOT(ISNUMBER(J1075))),IF(D1075="労務費","単価がありません（設定の作業者名と同じ書き方に）","単価がありません"),IF(AND(ISNUMBER(J1075),NOT(ISNUMBER(F1075))),"数量がありません","金額がありません")),IF(NOT(ISNUMBER(A1075)),"日付がありません（月別集計に入りません）",IF(AND(ISNUMBER(F1075),ISNUMBER(J1075),ISNUMBER(I1075)),"数量×単価を使いました（金額の欄は使っていません）","")))))))</f>
        <v/>
      </c>
      <c r="N1075" s="91">
        <f>IF(AND(B1075&lt;&gt;"",B1075='案件カード'!$C$3),COUNTIF($B$5:B1075,'案件カード'!$C$3),"")</f>
        <v/>
      </c>
      <c r="O1075" s="91">
        <f>IF(ISNUMBER(K1075),IF(B1075="",K1075,IF(AND(ISNUMBER(MATCH(B1075,'案件'!$A$6:$A$105,0)),OR(D1075="材料費",D1075="労務費",D1075="外注費",D1075="経費")),0,K1075)),0)</f>
        <v/>
      </c>
    </row>
    <row r="1076" ht="16" customHeight="1">
      <c r="A1076" s="35" t="n"/>
      <c r="B1076" s="36" t="n"/>
      <c r="C1076" s="37">
        <f>IF(B1076="","",IFERROR(INDEX('案件'!$B$6:$B$105,MATCH(B1076,'案件'!$A$6:$A$105,0))&amp;"","（案件シートに無い番号）"))</f>
        <v/>
      </c>
      <c r="D1076" s="36" t="n"/>
      <c r="E1076" s="38" t="n"/>
      <c r="F1076" s="39" t="n"/>
      <c r="G1076" s="36" t="n"/>
      <c r="H1076" s="40" t="n"/>
      <c r="I1076" s="40" t="n"/>
      <c r="J1076" s="41">
        <f>IF(ISNUMBER(H1076),H1076,IF(AND(D1076="労務費",TRIM(E1076)&lt;&gt;""),IFERROR(INDEX('設定'!$G$12:$G$31,MATCH(TRIM(E1076),'設定'!$J$12:$J$31,0)),""),""))</f>
        <v/>
      </c>
      <c r="K1076" s="30">
        <f>IF(AND(ISNUMBER(F1076),ISNUMBER(J1076)),ROUND(F1076*J1076,0),IF(ISNUMBER(I1076),I1076,""))</f>
        <v/>
      </c>
      <c r="L1076" s="33" t="n"/>
      <c r="M1076" s="34">
        <f>IF(COUNTA(A1076:B1076,D1076:I1076,L1076)=0,"",IF(B1076="","案件番号がありません",IF(ISNA(MATCH(B1076,'案件'!$A$6:$A$105,0)),"案件シートに無い番号です",IF(NOT(OR(D1076="材料費",D1076="労務費",D1076="外注費",D1076="経費")),"費目を4つから選んでください",IF(K1076="",IF(AND(ISNUMBER(F1076),NOT(ISNUMBER(J1076))),IF(D1076="労務費","単価がありません（設定の作業者名と同じ書き方に）","単価がありません"),IF(AND(ISNUMBER(J1076),NOT(ISNUMBER(F1076))),"数量がありません","金額がありません")),IF(NOT(ISNUMBER(A1076)),"日付がありません（月別集計に入りません）",IF(AND(ISNUMBER(F1076),ISNUMBER(J1076),ISNUMBER(I1076)),"数量×単価を使いました（金額の欄は使っていません）","")))))))</f>
        <v/>
      </c>
      <c r="N1076" s="91">
        <f>IF(AND(B1076&lt;&gt;"",B1076='案件カード'!$C$3),COUNTIF($B$5:B1076,'案件カード'!$C$3),"")</f>
        <v/>
      </c>
      <c r="O1076" s="91">
        <f>IF(ISNUMBER(K1076),IF(B1076="",K1076,IF(AND(ISNUMBER(MATCH(B1076,'案件'!$A$6:$A$105,0)),OR(D1076="材料費",D1076="労務費",D1076="外注費",D1076="経費")),0,K1076)),0)</f>
        <v/>
      </c>
    </row>
    <row r="1077" ht="16" customHeight="1">
      <c r="A1077" s="35" t="n"/>
      <c r="B1077" s="36" t="n"/>
      <c r="C1077" s="37">
        <f>IF(B1077="","",IFERROR(INDEX('案件'!$B$6:$B$105,MATCH(B1077,'案件'!$A$6:$A$105,0))&amp;"","（案件シートに無い番号）"))</f>
        <v/>
      </c>
      <c r="D1077" s="36" t="n"/>
      <c r="E1077" s="38" t="n"/>
      <c r="F1077" s="39" t="n"/>
      <c r="G1077" s="36" t="n"/>
      <c r="H1077" s="40" t="n"/>
      <c r="I1077" s="40" t="n"/>
      <c r="J1077" s="41">
        <f>IF(ISNUMBER(H1077),H1077,IF(AND(D1077="労務費",TRIM(E1077)&lt;&gt;""),IFERROR(INDEX('設定'!$G$12:$G$31,MATCH(TRIM(E1077),'設定'!$J$12:$J$31,0)),""),""))</f>
        <v/>
      </c>
      <c r="K1077" s="30">
        <f>IF(AND(ISNUMBER(F1077),ISNUMBER(J1077)),ROUND(F1077*J1077,0),IF(ISNUMBER(I1077),I1077,""))</f>
        <v/>
      </c>
      <c r="L1077" s="33" t="n"/>
      <c r="M1077" s="34">
        <f>IF(COUNTA(A1077:B1077,D1077:I1077,L1077)=0,"",IF(B1077="","案件番号がありません",IF(ISNA(MATCH(B1077,'案件'!$A$6:$A$105,0)),"案件シートに無い番号です",IF(NOT(OR(D1077="材料費",D1077="労務費",D1077="外注費",D1077="経費")),"費目を4つから選んでください",IF(K1077="",IF(AND(ISNUMBER(F1077),NOT(ISNUMBER(J1077))),IF(D1077="労務費","単価がありません（設定の作業者名と同じ書き方に）","単価がありません"),IF(AND(ISNUMBER(J1077),NOT(ISNUMBER(F1077))),"数量がありません","金額がありません")),IF(NOT(ISNUMBER(A1077)),"日付がありません（月別集計に入りません）",IF(AND(ISNUMBER(F1077),ISNUMBER(J1077),ISNUMBER(I1077)),"数量×単価を使いました（金額の欄は使っていません）","")))))))</f>
        <v/>
      </c>
      <c r="N1077" s="91">
        <f>IF(AND(B1077&lt;&gt;"",B1077='案件カード'!$C$3),COUNTIF($B$5:B1077,'案件カード'!$C$3),"")</f>
        <v/>
      </c>
      <c r="O1077" s="91">
        <f>IF(ISNUMBER(K1077),IF(B1077="",K1077,IF(AND(ISNUMBER(MATCH(B1077,'案件'!$A$6:$A$105,0)),OR(D1077="材料費",D1077="労務費",D1077="外注費",D1077="経費")),0,K1077)),0)</f>
        <v/>
      </c>
    </row>
    <row r="1078" ht="16" customHeight="1">
      <c r="A1078" s="35" t="n"/>
      <c r="B1078" s="36" t="n"/>
      <c r="C1078" s="37">
        <f>IF(B1078="","",IFERROR(INDEX('案件'!$B$6:$B$105,MATCH(B1078,'案件'!$A$6:$A$105,0))&amp;"","（案件シートに無い番号）"))</f>
        <v/>
      </c>
      <c r="D1078" s="36" t="n"/>
      <c r="E1078" s="38" t="n"/>
      <c r="F1078" s="39" t="n"/>
      <c r="G1078" s="36" t="n"/>
      <c r="H1078" s="40" t="n"/>
      <c r="I1078" s="40" t="n"/>
      <c r="J1078" s="41">
        <f>IF(ISNUMBER(H1078),H1078,IF(AND(D1078="労務費",TRIM(E1078)&lt;&gt;""),IFERROR(INDEX('設定'!$G$12:$G$31,MATCH(TRIM(E1078),'設定'!$J$12:$J$31,0)),""),""))</f>
        <v/>
      </c>
      <c r="K1078" s="30">
        <f>IF(AND(ISNUMBER(F1078),ISNUMBER(J1078)),ROUND(F1078*J1078,0),IF(ISNUMBER(I1078),I1078,""))</f>
        <v/>
      </c>
      <c r="L1078" s="33" t="n"/>
      <c r="M1078" s="34">
        <f>IF(COUNTA(A1078:B1078,D1078:I1078,L1078)=0,"",IF(B1078="","案件番号がありません",IF(ISNA(MATCH(B1078,'案件'!$A$6:$A$105,0)),"案件シートに無い番号です",IF(NOT(OR(D1078="材料費",D1078="労務費",D1078="外注費",D1078="経費")),"費目を4つから選んでください",IF(K1078="",IF(AND(ISNUMBER(F1078),NOT(ISNUMBER(J1078))),IF(D1078="労務費","単価がありません（設定の作業者名と同じ書き方に）","単価がありません"),IF(AND(ISNUMBER(J1078),NOT(ISNUMBER(F1078))),"数量がありません","金額がありません")),IF(NOT(ISNUMBER(A1078)),"日付がありません（月別集計に入りません）",IF(AND(ISNUMBER(F1078),ISNUMBER(J1078),ISNUMBER(I1078)),"数量×単価を使いました（金額の欄は使っていません）","")))))))</f>
        <v/>
      </c>
      <c r="N1078" s="91">
        <f>IF(AND(B1078&lt;&gt;"",B1078='案件カード'!$C$3),COUNTIF($B$5:B1078,'案件カード'!$C$3),"")</f>
        <v/>
      </c>
      <c r="O1078" s="91">
        <f>IF(ISNUMBER(K1078),IF(B1078="",K1078,IF(AND(ISNUMBER(MATCH(B1078,'案件'!$A$6:$A$105,0)),OR(D1078="材料費",D1078="労務費",D1078="外注費",D1078="経費")),0,K1078)),0)</f>
        <v/>
      </c>
    </row>
    <row r="1079" ht="16" customHeight="1">
      <c r="A1079" s="35" t="n"/>
      <c r="B1079" s="36" t="n"/>
      <c r="C1079" s="37">
        <f>IF(B1079="","",IFERROR(INDEX('案件'!$B$6:$B$105,MATCH(B1079,'案件'!$A$6:$A$105,0))&amp;"","（案件シートに無い番号）"))</f>
        <v/>
      </c>
      <c r="D1079" s="36" t="n"/>
      <c r="E1079" s="38" t="n"/>
      <c r="F1079" s="39" t="n"/>
      <c r="G1079" s="36" t="n"/>
      <c r="H1079" s="40" t="n"/>
      <c r="I1079" s="40" t="n"/>
      <c r="J1079" s="41">
        <f>IF(ISNUMBER(H1079),H1079,IF(AND(D1079="労務費",TRIM(E1079)&lt;&gt;""),IFERROR(INDEX('設定'!$G$12:$G$31,MATCH(TRIM(E1079),'設定'!$J$12:$J$31,0)),""),""))</f>
        <v/>
      </c>
      <c r="K1079" s="30">
        <f>IF(AND(ISNUMBER(F1079),ISNUMBER(J1079)),ROUND(F1079*J1079,0),IF(ISNUMBER(I1079),I1079,""))</f>
        <v/>
      </c>
      <c r="L1079" s="33" t="n"/>
      <c r="M1079" s="34">
        <f>IF(COUNTA(A1079:B1079,D1079:I1079,L1079)=0,"",IF(B1079="","案件番号がありません",IF(ISNA(MATCH(B1079,'案件'!$A$6:$A$105,0)),"案件シートに無い番号です",IF(NOT(OR(D1079="材料費",D1079="労務費",D1079="外注費",D1079="経費")),"費目を4つから選んでください",IF(K1079="",IF(AND(ISNUMBER(F1079),NOT(ISNUMBER(J1079))),IF(D1079="労務費","単価がありません（設定の作業者名と同じ書き方に）","単価がありません"),IF(AND(ISNUMBER(J1079),NOT(ISNUMBER(F1079))),"数量がありません","金額がありません")),IF(NOT(ISNUMBER(A1079)),"日付がありません（月別集計に入りません）",IF(AND(ISNUMBER(F1079),ISNUMBER(J1079),ISNUMBER(I1079)),"数量×単価を使いました（金額の欄は使っていません）","")))))))</f>
        <v/>
      </c>
      <c r="N1079" s="91">
        <f>IF(AND(B1079&lt;&gt;"",B1079='案件カード'!$C$3),COUNTIF($B$5:B1079,'案件カード'!$C$3),"")</f>
        <v/>
      </c>
      <c r="O1079" s="91">
        <f>IF(ISNUMBER(K1079),IF(B1079="",K1079,IF(AND(ISNUMBER(MATCH(B1079,'案件'!$A$6:$A$105,0)),OR(D1079="材料費",D1079="労務費",D1079="外注費",D1079="経費")),0,K1079)),0)</f>
        <v/>
      </c>
    </row>
    <row r="1080" ht="16" customHeight="1">
      <c r="A1080" s="35" t="n"/>
      <c r="B1080" s="36" t="n"/>
      <c r="C1080" s="37">
        <f>IF(B1080="","",IFERROR(INDEX('案件'!$B$6:$B$105,MATCH(B1080,'案件'!$A$6:$A$105,0))&amp;"","（案件シートに無い番号）"))</f>
        <v/>
      </c>
      <c r="D1080" s="36" t="n"/>
      <c r="E1080" s="38" t="n"/>
      <c r="F1080" s="39" t="n"/>
      <c r="G1080" s="36" t="n"/>
      <c r="H1080" s="40" t="n"/>
      <c r="I1080" s="40" t="n"/>
      <c r="J1080" s="41">
        <f>IF(ISNUMBER(H1080),H1080,IF(AND(D1080="労務費",TRIM(E1080)&lt;&gt;""),IFERROR(INDEX('設定'!$G$12:$G$31,MATCH(TRIM(E1080),'設定'!$J$12:$J$31,0)),""),""))</f>
        <v/>
      </c>
      <c r="K1080" s="30">
        <f>IF(AND(ISNUMBER(F1080),ISNUMBER(J1080)),ROUND(F1080*J1080,0),IF(ISNUMBER(I1080),I1080,""))</f>
        <v/>
      </c>
      <c r="L1080" s="33" t="n"/>
      <c r="M1080" s="34">
        <f>IF(COUNTA(A1080:B1080,D1080:I1080,L1080)=0,"",IF(B1080="","案件番号がありません",IF(ISNA(MATCH(B1080,'案件'!$A$6:$A$105,0)),"案件シートに無い番号です",IF(NOT(OR(D1080="材料費",D1080="労務費",D1080="外注費",D1080="経費")),"費目を4つから選んでください",IF(K1080="",IF(AND(ISNUMBER(F1080),NOT(ISNUMBER(J1080))),IF(D1080="労務費","単価がありません（設定の作業者名と同じ書き方に）","単価がありません"),IF(AND(ISNUMBER(J1080),NOT(ISNUMBER(F1080))),"数量がありません","金額がありません")),IF(NOT(ISNUMBER(A1080)),"日付がありません（月別集計に入りません）",IF(AND(ISNUMBER(F1080),ISNUMBER(J1080),ISNUMBER(I1080)),"数量×単価を使いました（金額の欄は使っていません）","")))))))</f>
        <v/>
      </c>
      <c r="N1080" s="91">
        <f>IF(AND(B1080&lt;&gt;"",B1080='案件カード'!$C$3),COUNTIF($B$5:B1080,'案件カード'!$C$3),"")</f>
        <v/>
      </c>
      <c r="O1080" s="91">
        <f>IF(ISNUMBER(K1080),IF(B1080="",K1080,IF(AND(ISNUMBER(MATCH(B1080,'案件'!$A$6:$A$105,0)),OR(D1080="材料費",D1080="労務費",D1080="外注費",D1080="経費")),0,K1080)),0)</f>
        <v/>
      </c>
    </row>
    <row r="1081" ht="16" customHeight="1">
      <c r="A1081" s="35" t="n"/>
      <c r="B1081" s="36" t="n"/>
      <c r="C1081" s="37">
        <f>IF(B1081="","",IFERROR(INDEX('案件'!$B$6:$B$105,MATCH(B1081,'案件'!$A$6:$A$105,0))&amp;"","（案件シートに無い番号）"))</f>
        <v/>
      </c>
      <c r="D1081" s="36" t="n"/>
      <c r="E1081" s="38" t="n"/>
      <c r="F1081" s="39" t="n"/>
      <c r="G1081" s="36" t="n"/>
      <c r="H1081" s="40" t="n"/>
      <c r="I1081" s="40" t="n"/>
      <c r="J1081" s="41">
        <f>IF(ISNUMBER(H1081),H1081,IF(AND(D1081="労務費",TRIM(E1081)&lt;&gt;""),IFERROR(INDEX('設定'!$G$12:$G$31,MATCH(TRIM(E1081),'設定'!$J$12:$J$31,0)),""),""))</f>
        <v/>
      </c>
      <c r="K1081" s="30">
        <f>IF(AND(ISNUMBER(F1081),ISNUMBER(J1081)),ROUND(F1081*J1081,0),IF(ISNUMBER(I1081),I1081,""))</f>
        <v/>
      </c>
      <c r="L1081" s="33" t="n"/>
      <c r="M1081" s="34">
        <f>IF(COUNTA(A1081:B1081,D1081:I1081,L1081)=0,"",IF(B1081="","案件番号がありません",IF(ISNA(MATCH(B1081,'案件'!$A$6:$A$105,0)),"案件シートに無い番号です",IF(NOT(OR(D1081="材料費",D1081="労務費",D1081="外注費",D1081="経費")),"費目を4つから選んでください",IF(K1081="",IF(AND(ISNUMBER(F1081),NOT(ISNUMBER(J1081))),IF(D1081="労務費","単価がありません（設定の作業者名と同じ書き方に）","単価がありません"),IF(AND(ISNUMBER(J1081),NOT(ISNUMBER(F1081))),"数量がありません","金額がありません")),IF(NOT(ISNUMBER(A1081)),"日付がありません（月別集計に入りません）",IF(AND(ISNUMBER(F1081),ISNUMBER(J1081),ISNUMBER(I1081)),"数量×単価を使いました（金額の欄は使っていません）","")))))))</f>
        <v/>
      </c>
      <c r="N1081" s="91">
        <f>IF(AND(B1081&lt;&gt;"",B1081='案件カード'!$C$3),COUNTIF($B$5:B1081,'案件カード'!$C$3),"")</f>
        <v/>
      </c>
      <c r="O1081" s="91">
        <f>IF(ISNUMBER(K1081),IF(B1081="",K1081,IF(AND(ISNUMBER(MATCH(B1081,'案件'!$A$6:$A$105,0)),OR(D1081="材料費",D1081="労務費",D1081="外注費",D1081="経費")),0,K1081)),0)</f>
        <v/>
      </c>
    </row>
    <row r="1082" ht="16" customHeight="1">
      <c r="A1082" s="35" t="n"/>
      <c r="B1082" s="36" t="n"/>
      <c r="C1082" s="37">
        <f>IF(B1082="","",IFERROR(INDEX('案件'!$B$6:$B$105,MATCH(B1082,'案件'!$A$6:$A$105,0))&amp;"","（案件シートに無い番号）"))</f>
        <v/>
      </c>
      <c r="D1082" s="36" t="n"/>
      <c r="E1082" s="38" t="n"/>
      <c r="F1082" s="39" t="n"/>
      <c r="G1082" s="36" t="n"/>
      <c r="H1082" s="40" t="n"/>
      <c r="I1082" s="40" t="n"/>
      <c r="J1082" s="41">
        <f>IF(ISNUMBER(H1082),H1082,IF(AND(D1082="労務費",TRIM(E1082)&lt;&gt;""),IFERROR(INDEX('設定'!$G$12:$G$31,MATCH(TRIM(E1082),'設定'!$J$12:$J$31,0)),""),""))</f>
        <v/>
      </c>
      <c r="K1082" s="30">
        <f>IF(AND(ISNUMBER(F1082),ISNUMBER(J1082)),ROUND(F1082*J1082,0),IF(ISNUMBER(I1082),I1082,""))</f>
        <v/>
      </c>
      <c r="L1082" s="33" t="n"/>
      <c r="M1082" s="34">
        <f>IF(COUNTA(A1082:B1082,D1082:I1082,L1082)=0,"",IF(B1082="","案件番号がありません",IF(ISNA(MATCH(B1082,'案件'!$A$6:$A$105,0)),"案件シートに無い番号です",IF(NOT(OR(D1082="材料費",D1082="労務費",D1082="外注費",D1082="経費")),"費目を4つから選んでください",IF(K1082="",IF(AND(ISNUMBER(F1082),NOT(ISNUMBER(J1082))),IF(D1082="労務費","単価がありません（設定の作業者名と同じ書き方に）","単価がありません"),IF(AND(ISNUMBER(J1082),NOT(ISNUMBER(F1082))),"数量がありません","金額がありません")),IF(NOT(ISNUMBER(A1082)),"日付がありません（月別集計に入りません）",IF(AND(ISNUMBER(F1082),ISNUMBER(J1082),ISNUMBER(I1082)),"数量×単価を使いました（金額の欄は使っていません）","")))))))</f>
        <v/>
      </c>
      <c r="N1082" s="91">
        <f>IF(AND(B1082&lt;&gt;"",B1082='案件カード'!$C$3),COUNTIF($B$5:B1082,'案件カード'!$C$3),"")</f>
        <v/>
      </c>
      <c r="O1082" s="91">
        <f>IF(ISNUMBER(K1082),IF(B1082="",K1082,IF(AND(ISNUMBER(MATCH(B1082,'案件'!$A$6:$A$105,0)),OR(D1082="材料費",D1082="労務費",D1082="外注費",D1082="経費")),0,K1082)),0)</f>
        <v/>
      </c>
    </row>
    <row r="1083" ht="16" customHeight="1">
      <c r="A1083" s="35" t="n"/>
      <c r="B1083" s="36" t="n"/>
      <c r="C1083" s="37">
        <f>IF(B1083="","",IFERROR(INDEX('案件'!$B$6:$B$105,MATCH(B1083,'案件'!$A$6:$A$105,0))&amp;"","（案件シートに無い番号）"))</f>
        <v/>
      </c>
      <c r="D1083" s="36" t="n"/>
      <c r="E1083" s="38" t="n"/>
      <c r="F1083" s="39" t="n"/>
      <c r="G1083" s="36" t="n"/>
      <c r="H1083" s="40" t="n"/>
      <c r="I1083" s="40" t="n"/>
      <c r="J1083" s="41">
        <f>IF(ISNUMBER(H1083),H1083,IF(AND(D1083="労務費",TRIM(E1083)&lt;&gt;""),IFERROR(INDEX('設定'!$G$12:$G$31,MATCH(TRIM(E1083),'設定'!$J$12:$J$31,0)),""),""))</f>
        <v/>
      </c>
      <c r="K1083" s="30">
        <f>IF(AND(ISNUMBER(F1083),ISNUMBER(J1083)),ROUND(F1083*J1083,0),IF(ISNUMBER(I1083),I1083,""))</f>
        <v/>
      </c>
      <c r="L1083" s="33" t="n"/>
      <c r="M1083" s="34">
        <f>IF(COUNTA(A1083:B1083,D1083:I1083,L1083)=0,"",IF(B1083="","案件番号がありません",IF(ISNA(MATCH(B1083,'案件'!$A$6:$A$105,0)),"案件シートに無い番号です",IF(NOT(OR(D1083="材料費",D1083="労務費",D1083="外注費",D1083="経費")),"費目を4つから選んでください",IF(K1083="",IF(AND(ISNUMBER(F1083),NOT(ISNUMBER(J1083))),IF(D1083="労務費","単価がありません（設定の作業者名と同じ書き方に）","単価がありません"),IF(AND(ISNUMBER(J1083),NOT(ISNUMBER(F1083))),"数量がありません","金額がありません")),IF(NOT(ISNUMBER(A1083)),"日付がありません（月別集計に入りません）",IF(AND(ISNUMBER(F1083),ISNUMBER(J1083),ISNUMBER(I1083)),"数量×単価を使いました（金額の欄は使っていません）","")))))))</f>
        <v/>
      </c>
      <c r="N1083" s="91">
        <f>IF(AND(B1083&lt;&gt;"",B1083='案件カード'!$C$3),COUNTIF($B$5:B1083,'案件カード'!$C$3),"")</f>
        <v/>
      </c>
      <c r="O1083" s="91">
        <f>IF(ISNUMBER(K1083),IF(B1083="",K1083,IF(AND(ISNUMBER(MATCH(B1083,'案件'!$A$6:$A$105,0)),OR(D1083="材料費",D1083="労務費",D1083="外注費",D1083="経費")),0,K1083)),0)</f>
        <v/>
      </c>
    </row>
    <row r="1084" ht="16" customHeight="1">
      <c r="A1084" s="35" t="n"/>
      <c r="B1084" s="36" t="n"/>
      <c r="C1084" s="37">
        <f>IF(B1084="","",IFERROR(INDEX('案件'!$B$6:$B$105,MATCH(B1084,'案件'!$A$6:$A$105,0))&amp;"","（案件シートに無い番号）"))</f>
        <v/>
      </c>
      <c r="D1084" s="36" t="n"/>
      <c r="E1084" s="38" t="n"/>
      <c r="F1084" s="39" t="n"/>
      <c r="G1084" s="36" t="n"/>
      <c r="H1084" s="40" t="n"/>
      <c r="I1084" s="40" t="n"/>
      <c r="J1084" s="41">
        <f>IF(ISNUMBER(H1084),H1084,IF(AND(D1084="労務費",TRIM(E1084)&lt;&gt;""),IFERROR(INDEX('設定'!$G$12:$G$31,MATCH(TRIM(E1084),'設定'!$J$12:$J$31,0)),""),""))</f>
        <v/>
      </c>
      <c r="K1084" s="30">
        <f>IF(AND(ISNUMBER(F1084),ISNUMBER(J1084)),ROUND(F1084*J1084,0),IF(ISNUMBER(I1084),I1084,""))</f>
        <v/>
      </c>
      <c r="L1084" s="33" t="n"/>
      <c r="M1084" s="34">
        <f>IF(COUNTA(A1084:B1084,D1084:I1084,L1084)=0,"",IF(B1084="","案件番号がありません",IF(ISNA(MATCH(B1084,'案件'!$A$6:$A$105,0)),"案件シートに無い番号です",IF(NOT(OR(D1084="材料費",D1084="労務費",D1084="外注費",D1084="経費")),"費目を4つから選んでください",IF(K1084="",IF(AND(ISNUMBER(F1084),NOT(ISNUMBER(J1084))),IF(D1084="労務費","単価がありません（設定の作業者名と同じ書き方に）","単価がありません"),IF(AND(ISNUMBER(J1084),NOT(ISNUMBER(F1084))),"数量がありません","金額がありません")),IF(NOT(ISNUMBER(A1084)),"日付がありません（月別集計に入りません）",IF(AND(ISNUMBER(F1084),ISNUMBER(J1084),ISNUMBER(I1084)),"数量×単価を使いました（金額の欄は使っていません）","")))))))</f>
        <v/>
      </c>
      <c r="N1084" s="91">
        <f>IF(AND(B1084&lt;&gt;"",B1084='案件カード'!$C$3),COUNTIF($B$5:B1084,'案件カード'!$C$3),"")</f>
        <v/>
      </c>
      <c r="O1084" s="91">
        <f>IF(ISNUMBER(K1084),IF(B1084="",K1084,IF(AND(ISNUMBER(MATCH(B1084,'案件'!$A$6:$A$105,0)),OR(D1084="材料費",D1084="労務費",D1084="外注費",D1084="経費")),0,K1084)),0)</f>
        <v/>
      </c>
    </row>
    <row r="1085" ht="16" customHeight="1">
      <c r="A1085" s="35" t="n"/>
      <c r="B1085" s="36" t="n"/>
      <c r="C1085" s="37">
        <f>IF(B1085="","",IFERROR(INDEX('案件'!$B$6:$B$105,MATCH(B1085,'案件'!$A$6:$A$105,0))&amp;"","（案件シートに無い番号）"))</f>
        <v/>
      </c>
      <c r="D1085" s="36" t="n"/>
      <c r="E1085" s="38" t="n"/>
      <c r="F1085" s="39" t="n"/>
      <c r="G1085" s="36" t="n"/>
      <c r="H1085" s="40" t="n"/>
      <c r="I1085" s="40" t="n"/>
      <c r="J1085" s="41">
        <f>IF(ISNUMBER(H1085),H1085,IF(AND(D1085="労務費",TRIM(E1085)&lt;&gt;""),IFERROR(INDEX('設定'!$G$12:$G$31,MATCH(TRIM(E1085),'設定'!$J$12:$J$31,0)),""),""))</f>
        <v/>
      </c>
      <c r="K1085" s="30">
        <f>IF(AND(ISNUMBER(F1085),ISNUMBER(J1085)),ROUND(F1085*J1085,0),IF(ISNUMBER(I1085),I1085,""))</f>
        <v/>
      </c>
      <c r="L1085" s="33" t="n"/>
      <c r="M1085" s="34">
        <f>IF(COUNTA(A1085:B1085,D1085:I1085,L1085)=0,"",IF(B1085="","案件番号がありません",IF(ISNA(MATCH(B1085,'案件'!$A$6:$A$105,0)),"案件シートに無い番号です",IF(NOT(OR(D1085="材料費",D1085="労務費",D1085="外注費",D1085="経費")),"費目を4つから選んでください",IF(K1085="",IF(AND(ISNUMBER(F1085),NOT(ISNUMBER(J1085))),IF(D1085="労務費","単価がありません（設定の作業者名と同じ書き方に）","単価がありません"),IF(AND(ISNUMBER(J1085),NOT(ISNUMBER(F1085))),"数量がありません","金額がありません")),IF(NOT(ISNUMBER(A1085)),"日付がありません（月別集計に入りません）",IF(AND(ISNUMBER(F1085),ISNUMBER(J1085),ISNUMBER(I1085)),"数量×単価を使いました（金額の欄は使っていません）","")))))))</f>
        <v/>
      </c>
      <c r="N1085" s="91">
        <f>IF(AND(B1085&lt;&gt;"",B1085='案件カード'!$C$3),COUNTIF($B$5:B1085,'案件カード'!$C$3),"")</f>
        <v/>
      </c>
      <c r="O1085" s="91">
        <f>IF(ISNUMBER(K1085),IF(B1085="",K1085,IF(AND(ISNUMBER(MATCH(B1085,'案件'!$A$6:$A$105,0)),OR(D1085="材料費",D1085="労務費",D1085="外注費",D1085="経費")),0,K1085)),0)</f>
        <v/>
      </c>
    </row>
    <row r="1086" ht="16" customHeight="1">
      <c r="A1086" s="35" t="n"/>
      <c r="B1086" s="36" t="n"/>
      <c r="C1086" s="37">
        <f>IF(B1086="","",IFERROR(INDEX('案件'!$B$6:$B$105,MATCH(B1086,'案件'!$A$6:$A$105,0))&amp;"","（案件シートに無い番号）"))</f>
        <v/>
      </c>
      <c r="D1086" s="36" t="n"/>
      <c r="E1086" s="38" t="n"/>
      <c r="F1086" s="39" t="n"/>
      <c r="G1086" s="36" t="n"/>
      <c r="H1086" s="40" t="n"/>
      <c r="I1086" s="40" t="n"/>
      <c r="J1086" s="41">
        <f>IF(ISNUMBER(H1086),H1086,IF(AND(D1086="労務費",TRIM(E1086)&lt;&gt;""),IFERROR(INDEX('設定'!$G$12:$G$31,MATCH(TRIM(E1086),'設定'!$J$12:$J$31,0)),""),""))</f>
        <v/>
      </c>
      <c r="K1086" s="30">
        <f>IF(AND(ISNUMBER(F1086),ISNUMBER(J1086)),ROUND(F1086*J1086,0),IF(ISNUMBER(I1086),I1086,""))</f>
        <v/>
      </c>
      <c r="L1086" s="33" t="n"/>
      <c r="M1086" s="34">
        <f>IF(COUNTA(A1086:B1086,D1086:I1086,L1086)=0,"",IF(B1086="","案件番号がありません",IF(ISNA(MATCH(B1086,'案件'!$A$6:$A$105,0)),"案件シートに無い番号です",IF(NOT(OR(D1086="材料費",D1086="労務費",D1086="外注費",D1086="経費")),"費目を4つから選んでください",IF(K1086="",IF(AND(ISNUMBER(F1086),NOT(ISNUMBER(J1086))),IF(D1086="労務費","単価がありません（設定の作業者名と同じ書き方に）","単価がありません"),IF(AND(ISNUMBER(J1086),NOT(ISNUMBER(F1086))),"数量がありません","金額がありません")),IF(NOT(ISNUMBER(A1086)),"日付がありません（月別集計に入りません）",IF(AND(ISNUMBER(F1086),ISNUMBER(J1086),ISNUMBER(I1086)),"数量×単価を使いました（金額の欄は使っていません）","")))))))</f>
        <v/>
      </c>
      <c r="N1086" s="91">
        <f>IF(AND(B1086&lt;&gt;"",B1086='案件カード'!$C$3),COUNTIF($B$5:B1086,'案件カード'!$C$3),"")</f>
        <v/>
      </c>
      <c r="O1086" s="91">
        <f>IF(ISNUMBER(K1086),IF(B1086="",K1086,IF(AND(ISNUMBER(MATCH(B1086,'案件'!$A$6:$A$105,0)),OR(D1086="材料費",D1086="労務費",D1086="外注費",D1086="経費")),0,K1086)),0)</f>
        <v/>
      </c>
    </row>
    <row r="1087" ht="16" customHeight="1">
      <c r="A1087" s="35" t="n"/>
      <c r="B1087" s="36" t="n"/>
      <c r="C1087" s="37">
        <f>IF(B1087="","",IFERROR(INDEX('案件'!$B$6:$B$105,MATCH(B1087,'案件'!$A$6:$A$105,0))&amp;"","（案件シートに無い番号）"))</f>
        <v/>
      </c>
      <c r="D1087" s="36" t="n"/>
      <c r="E1087" s="38" t="n"/>
      <c r="F1087" s="39" t="n"/>
      <c r="G1087" s="36" t="n"/>
      <c r="H1087" s="40" t="n"/>
      <c r="I1087" s="40" t="n"/>
      <c r="J1087" s="41">
        <f>IF(ISNUMBER(H1087),H1087,IF(AND(D1087="労務費",TRIM(E1087)&lt;&gt;""),IFERROR(INDEX('設定'!$G$12:$G$31,MATCH(TRIM(E1087),'設定'!$J$12:$J$31,0)),""),""))</f>
        <v/>
      </c>
      <c r="K1087" s="30">
        <f>IF(AND(ISNUMBER(F1087),ISNUMBER(J1087)),ROUND(F1087*J1087,0),IF(ISNUMBER(I1087),I1087,""))</f>
        <v/>
      </c>
      <c r="L1087" s="33" t="n"/>
      <c r="M1087" s="34">
        <f>IF(COUNTA(A1087:B1087,D1087:I1087,L1087)=0,"",IF(B1087="","案件番号がありません",IF(ISNA(MATCH(B1087,'案件'!$A$6:$A$105,0)),"案件シートに無い番号です",IF(NOT(OR(D1087="材料費",D1087="労務費",D1087="外注費",D1087="経費")),"費目を4つから選んでください",IF(K1087="",IF(AND(ISNUMBER(F1087),NOT(ISNUMBER(J1087))),IF(D1087="労務費","単価がありません（設定の作業者名と同じ書き方に）","単価がありません"),IF(AND(ISNUMBER(J1087),NOT(ISNUMBER(F1087))),"数量がありません","金額がありません")),IF(NOT(ISNUMBER(A1087)),"日付がありません（月別集計に入りません）",IF(AND(ISNUMBER(F1087),ISNUMBER(J1087),ISNUMBER(I1087)),"数量×単価を使いました（金額の欄は使っていません）","")))))))</f>
        <v/>
      </c>
      <c r="N1087" s="91">
        <f>IF(AND(B1087&lt;&gt;"",B1087='案件カード'!$C$3),COUNTIF($B$5:B1087,'案件カード'!$C$3),"")</f>
        <v/>
      </c>
      <c r="O1087" s="91">
        <f>IF(ISNUMBER(K1087),IF(B1087="",K1087,IF(AND(ISNUMBER(MATCH(B1087,'案件'!$A$6:$A$105,0)),OR(D1087="材料費",D1087="労務費",D1087="外注費",D1087="経費")),0,K1087)),0)</f>
        <v/>
      </c>
    </row>
    <row r="1088" ht="16" customHeight="1">
      <c r="A1088" s="35" t="n"/>
      <c r="B1088" s="36" t="n"/>
      <c r="C1088" s="37">
        <f>IF(B1088="","",IFERROR(INDEX('案件'!$B$6:$B$105,MATCH(B1088,'案件'!$A$6:$A$105,0))&amp;"","（案件シートに無い番号）"))</f>
        <v/>
      </c>
      <c r="D1088" s="36" t="n"/>
      <c r="E1088" s="38" t="n"/>
      <c r="F1088" s="39" t="n"/>
      <c r="G1088" s="36" t="n"/>
      <c r="H1088" s="40" t="n"/>
      <c r="I1088" s="40" t="n"/>
      <c r="J1088" s="41">
        <f>IF(ISNUMBER(H1088),H1088,IF(AND(D1088="労務費",TRIM(E1088)&lt;&gt;""),IFERROR(INDEX('設定'!$G$12:$G$31,MATCH(TRIM(E1088),'設定'!$J$12:$J$31,0)),""),""))</f>
        <v/>
      </c>
      <c r="K1088" s="30">
        <f>IF(AND(ISNUMBER(F1088),ISNUMBER(J1088)),ROUND(F1088*J1088,0),IF(ISNUMBER(I1088),I1088,""))</f>
        <v/>
      </c>
      <c r="L1088" s="33" t="n"/>
      <c r="M1088" s="34">
        <f>IF(COUNTA(A1088:B1088,D1088:I1088,L1088)=0,"",IF(B1088="","案件番号がありません",IF(ISNA(MATCH(B1088,'案件'!$A$6:$A$105,0)),"案件シートに無い番号です",IF(NOT(OR(D1088="材料費",D1088="労務費",D1088="外注費",D1088="経費")),"費目を4つから選んでください",IF(K1088="",IF(AND(ISNUMBER(F1088),NOT(ISNUMBER(J1088))),IF(D1088="労務費","単価がありません（設定の作業者名と同じ書き方に）","単価がありません"),IF(AND(ISNUMBER(J1088),NOT(ISNUMBER(F1088))),"数量がありません","金額がありません")),IF(NOT(ISNUMBER(A1088)),"日付がありません（月別集計に入りません）",IF(AND(ISNUMBER(F1088),ISNUMBER(J1088),ISNUMBER(I1088)),"数量×単価を使いました（金額の欄は使っていません）","")))))))</f>
        <v/>
      </c>
      <c r="N1088" s="91">
        <f>IF(AND(B1088&lt;&gt;"",B1088='案件カード'!$C$3),COUNTIF($B$5:B1088,'案件カード'!$C$3),"")</f>
        <v/>
      </c>
      <c r="O1088" s="91">
        <f>IF(ISNUMBER(K1088),IF(B1088="",K1088,IF(AND(ISNUMBER(MATCH(B1088,'案件'!$A$6:$A$105,0)),OR(D1088="材料費",D1088="労務費",D1088="外注費",D1088="経費")),0,K1088)),0)</f>
        <v/>
      </c>
    </row>
    <row r="1089" ht="16" customHeight="1">
      <c r="A1089" s="35" t="n"/>
      <c r="B1089" s="36" t="n"/>
      <c r="C1089" s="37">
        <f>IF(B1089="","",IFERROR(INDEX('案件'!$B$6:$B$105,MATCH(B1089,'案件'!$A$6:$A$105,0))&amp;"","（案件シートに無い番号）"))</f>
        <v/>
      </c>
      <c r="D1089" s="36" t="n"/>
      <c r="E1089" s="38" t="n"/>
      <c r="F1089" s="39" t="n"/>
      <c r="G1089" s="36" t="n"/>
      <c r="H1089" s="40" t="n"/>
      <c r="I1089" s="40" t="n"/>
      <c r="J1089" s="41">
        <f>IF(ISNUMBER(H1089),H1089,IF(AND(D1089="労務費",TRIM(E1089)&lt;&gt;""),IFERROR(INDEX('設定'!$G$12:$G$31,MATCH(TRIM(E1089),'設定'!$J$12:$J$31,0)),""),""))</f>
        <v/>
      </c>
      <c r="K1089" s="30">
        <f>IF(AND(ISNUMBER(F1089),ISNUMBER(J1089)),ROUND(F1089*J1089,0),IF(ISNUMBER(I1089),I1089,""))</f>
        <v/>
      </c>
      <c r="L1089" s="33" t="n"/>
      <c r="M1089" s="34">
        <f>IF(COUNTA(A1089:B1089,D1089:I1089,L1089)=0,"",IF(B1089="","案件番号がありません",IF(ISNA(MATCH(B1089,'案件'!$A$6:$A$105,0)),"案件シートに無い番号です",IF(NOT(OR(D1089="材料費",D1089="労務費",D1089="外注費",D1089="経費")),"費目を4つから選んでください",IF(K1089="",IF(AND(ISNUMBER(F1089),NOT(ISNUMBER(J1089))),IF(D1089="労務費","単価がありません（設定の作業者名と同じ書き方に）","単価がありません"),IF(AND(ISNUMBER(J1089),NOT(ISNUMBER(F1089))),"数量がありません","金額がありません")),IF(NOT(ISNUMBER(A1089)),"日付がありません（月別集計に入りません）",IF(AND(ISNUMBER(F1089),ISNUMBER(J1089),ISNUMBER(I1089)),"数量×単価を使いました（金額の欄は使っていません）","")))))))</f>
        <v/>
      </c>
      <c r="N1089" s="91">
        <f>IF(AND(B1089&lt;&gt;"",B1089='案件カード'!$C$3),COUNTIF($B$5:B1089,'案件カード'!$C$3),"")</f>
        <v/>
      </c>
      <c r="O1089" s="91">
        <f>IF(ISNUMBER(K1089),IF(B1089="",K1089,IF(AND(ISNUMBER(MATCH(B1089,'案件'!$A$6:$A$105,0)),OR(D1089="材料費",D1089="労務費",D1089="外注費",D1089="経費")),0,K1089)),0)</f>
        <v/>
      </c>
    </row>
    <row r="1090" ht="16" customHeight="1">
      <c r="A1090" s="35" t="n"/>
      <c r="B1090" s="36" t="n"/>
      <c r="C1090" s="37">
        <f>IF(B1090="","",IFERROR(INDEX('案件'!$B$6:$B$105,MATCH(B1090,'案件'!$A$6:$A$105,0))&amp;"","（案件シートに無い番号）"))</f>
        <v/>
      </c>
      <c r="D1090" s="36" t="n"/>
      <c r="E1090" s="38" t="n"/>
      <c r="F1090" s="39" t="n"/>
      <c r="G1090" s="36" t="n"/>
      <c r="H1090" s="40" t="n"/>
      <c r="I1090" s="40" t="n"/>
      <c r="J1090" s="41">
        <f>IF(ISNUMBER(H1090),H1090,IF(AND(D1090="労務費",TRIM(E1090)&lt;&gt;""),IFERROR(INDEX('設定'!$G$12:$G$31,MATCH(TRIM(E1090),'設定'!$J$12:$J$31,0)),""),""))</f>
        <v/>
      </c>
      <c r="K1090" s="30">
        <f>IF(AND(ISNUMBER(F1090),ISNUMBER(J1090)),ROUND(F1090*J1090,0),IF(ISNUMBER(I1090),I1090,""))</f>
        <v/>
      </c>
      <c r="L1090" s="33" t="n"/>
      <c r="M1090" s="34">
        <f>IF(COUNTA(A1090:B1090,D1090:I1090,L1090)=0,"",IF(B1090="","案件番号がありません",IF(ISNA(MATCH(B1090,'案件'!$A$6:$A$105,0)),"案件シートに無い番号です",IF(NOT(OR(D1090="材料費",D1090="労務費",D1090="外注費",D1090="経費")),"費目を4つから選んでください",IF(K1090="",IF(AND(ISNUMBER(F1090),NOT(ISNUMBER(J1090))),IF(D1090="労務費","単価がありません（設定の作業者名と同じ書き方に）","単価がありません"),IF(AND(ISNUMBER(J1090),NOT(ISNUMBER(F1090))),"数量がありません","金額がありません")),IF(NOT(ISNUMBER(A1090)),"日付がありません（月別集計に入りません）",IF(AND(ISNUMBER(F1090),ISNUMBER(J1090),ISNUMBER(I1090)),"数量×単価を使いました（金額の欄は使っていません）","")))))))</f>
        <v/>
      </c>
      <c r="N1090" s="91">
        <f>IF(AND(B1090&lt;&gt;"",B1090='案件カード'!$C$3),COUNTIF($B$5:B1090,'案件カード'!$C$3),"")</f>
        <v/>
      </c>
      <c r="O1090" s="91">
        <f>IF(ISNUMBER(K1090),IF(B1090="",K1090,IF(AND(ISNUMBER(MATCH(B1090,'案件'!$A$6:$A$105,0)),OR(D1090="材料費",D1090="労務費",D1090="外注費",D1090="経費")),0,K1090)),0)</f>
        <v/>
      </c>
    </row>
    <row r="1091" ht="16" customHeight="1">
      <c r="A1091" s="35" t="n"/>
      <c r="B1091" s="36" t="n"/>
      <c r="C1091" s="37">
        <f>IF(B1091="","",IFERROR(INDEX('案件'!$B$6:$B$105,MATCH(B1091,'案件'!$A$6:$A$105,0))&amp;"","（案件シートに無い番号）"))</f>
        <v/>
      </c>
      <c r="D1091" s="36" t="n"/>
      <c r="E1091" s="38" t="n"/>
      <c r="F1091" s="39" t="n"/>
      <c r="G1091" s="36" t="n"/>
      <c r="H1091" s="40" t="n"/>
      <c r="I1091" s="40" t="n"/>
      <c r="J1091" s="41">
        <f>IF(ISNUMBER(H1091),H1091,IF(AND(D1091="労務費",TRIM(E1091)&lt;&gt;""),IFERROR(INDEX('設定'!$G$12:$G$31,MATCH(TRIM(E1091),'設定'!$J$12:$J$31,0)),""),""))</f>
        <v/>
      </c>
      <c r="K1091" s="30">
        <f>IF(AND(ISNUMBER(F1091),ISNUMBER(J1091)),ROUND(F1091*J1091,0),IF(ISNUMBER(I1091),I1091,""))</f>
        <v/>
      </c>
      <c r="L1091" s="33" t="n"/>
      <c r="M1091" s="34">
        <f>IF(COUNTA(A1091:B1091,D1091:I1091,L1091)=0,"",IF(B1091="","案件番号がありません",IF(ISNA(MATCH(B1091,'案件'!$A$6:$A$105,0)),"案件シートに無い番号です",IF(NOT(OR(D1091="材料費",D1091="労務費",D1091="外注費",D1091="経費")),"費目を4つから選んでください",IF(K1091="",IF(AND(ISNUMBER(F1091),NOT(ISNUMBER(J1091))),IF(D1091="労務費","単価がありません（設定の作業者名と同じ書き方に）","単価がありません"),IF(AND(ISNUMBER(J1091),NOT(ISNUMBER(F1091))),"数量がありません","金額がありません")),IF(NOT(ISNUMBER(A1091)),"日付がありません（月別集計に入りません）",IF(AND(ISNUMBER(F1091),ISNUMBER(J1091),ISNUMBER(I1091)),"数量×単価を使いました（金額の欄は使っていません）","")))))))</f>
        <v/>
      </c>
      <c r="N1091" s="91">
        <f>IF(AND(B1091&lt;&gt;"",B1091='案件カード'!$C$3),COUNTIF($B$5:B1091,'案件カード'!$C$3),"")</f>
        <v/>
      </c>
      <c r="O1091" s="91">
        <f>IF(ISNUMBER(K1091),IF(B1091="",K1091,IF(AND(ISNUMBER(MATCH(B1091,'案件'!$A$6:$A$105,0)),OR(D1091="材料費",D1091="労務費",D1091="外注費",D1091="経費")),0,K1091)),0)</f>
        <v/>
      </c>
    </row>
    <row r="1092" ht="16" customHeight="1">
      <c r="A1092" s="35" t="n"/>
      <c r="B1092" s="36" t="n"/>
      <c r="C1092" s="37">
        <f>IF(B1092="","",IFERROR(INDEX('案件'!$B$6:$B$105,MATCH(B1092,'案件'!$A$6:$A$105,0))&amp;"","（案件シートに無い番号）"))</f>
        <v/>
      </c>
      <c r="D1092" s="36" t="n"/>
      <c r="E1092" s="38" t="n"/>
      <c r="F1092" s="39" t="n"/>
      <c r="G1092" s="36" t="n"/>
      <c r="H1092" s="40" t="n"/>
      <c r="I1092" s="40" t="n"/>
      <c r="J1092" s="41">
        <f>IF(ISNUMBER(H1092),H1092,IF(AND(D1092="労務費",TRIM(E1092)&lt;&gt;""),IFERROR(INDEX('設定'!$G$12:$G$31,MATCH(TRIM(E1092),'設定'!$J$12:$J$31,0)),""),""))</f>
        <v/>
      </c>
      <c r="K1092" s="30">
        <f>IF(AND(ISNUMBER(F1092),ISNUMBER(J1092)),ROUND(F1092*J1092,0),IF(ISNUMBER(I1092),I1092,""))</f>
        <v/>
      </c>
      <c r="L1092" s="33" t="n"/>
      <c r="M1092" s="34">
        <f>IF(COUNTA(A1092:B1092,D1092:I1092,L1092)=0,"",IF(B1092="","案件番号がありません",IF(ISNA(MATCH(B1092,'案件'!$A$6:$A$105,0)),"案件シートに無い番号です",IF(NOT(OR(D1092="材料費",D1092="労務費",D1092="外注費",D1092="経費")),"費目を4つから選んでください",IF(K1092="",IF(AND(ISNUMBER(F1092),NOT(ISNUMBER(J1092))),IF(D1092="労務費","単価がありません（設定の作業者名と同じ書き方に）","単価がありません"),IF(AND(ISNUMBER(J1092),NOT(ISNUMBER(F1092))),"数量がありません","金額がありません")),IF(NOT(ISNUMBER(A1092)),"日付がありません（月別集計に入りません）",IF(AND(ISNUMBER(F1092),ISNUMBER(J1092),ISNUMBER(I1092)),"数量×単価を使いました（金額の欄は使っていません）","")))))))</f>
        <v/>
      </c>
      <c r="N1092" s="91">
        <f>IF(AND(B1092&lt;&gt;"",B1092='案件カード'!$C$3),COUNTIF($B$5:B1092,'案件カード'!$C$3),"")</f>
        <v/>
      </c>
      <c r="O1092" s="91">
        <f>IF(ISNUMBER(K1092),IF(B1092="",K1092,IF(AND(ISNUMBER(MATCH(B1092,'案件'!$A$6:$A$105,0)),OR(D1092="材料費",D1092="労務費",D1092="外注費",D1092="経費")),0,K1092)),0)</f>
        <v/>
      </c>
    </row>
    <row r="1093" ht="16" customHeight="1">
      <c r="A1093" s="35" t="n"/>
      <c r="B1093" s="36" t="n"/>
      <c r="C1093" s="37">
        <f>IF(B1093="","",IFERROR(INDEX('案件'!$B$6:$B$105,MATCH(B1093,'案件'!$A$6:$A$105,0))&amp;"","（案件シートに無い番号）"))</f>
        <v/>
      </c>
      <c r="D1093" s="36" t="n"/>
      <c r="E1093" s="38" t="n"/>
      <c r="F1093" s="39" t="n"/>
      <c r="G1093" s="36" t="n"/>
      <c r="H1093" s="40" t="n"/>
      <c r="I1093" s="40" t="n"/>
      <c r="J1093" s="41">
        <f>IF(ISNUMBER(H1093),H1093,IF(AND(D1093="労務費",TRIM(E1093)&lt;&gt;""),IFERROR(INDEX('設定'!$G$12:$G$31,MATCH(TRIM(E1093),'設定'!$J$12:$J$31,0)),""),""))</f>
        <v/>
      </c>
      <c r="K1093" s="30">
        <f>IF(AND(ISNUMBER(F1093),ISNUMBER(J1093)),ROUND(F1093*J1093,0),IF(ISNUMBER(I1093),I1093,""))</f>
        <v/>
      </c>
      <c r="L1093" s="33" t="n"/>
      <c r="M1093" s="34">
        <f>IF(COUNTA(A1093:B1093,D1093:I1093,L1093)=0,"",IF(B1093="","案件番号がありません",IF(ISNA(MATCH(B1093,'案件'!$A$6:$A$105,0)),"案件シートに無い番号です",IF(NOT(OR(D1093="材料費",D1093="労務費",D1093="外注費",D1093="経費")),"費目を4つから選んでください",IF(K1093="",IF(AND(ISNUMBER(F1093),NOT(ISNUMBER(J1093))),IF(D1093="労務費","単価がありません（設定の作業者名と同じ書き方に）","単価がありません"),IF(AND(ISNUMBER(J1093),NOT(ISNUMBER(F1093))),"数量がありません","金額がありません")),IF(NOT(ISNUMBER(A1093)),"日付がありません（月別集計に入りません）",IF(AND(ISNUMBER(F1093),ISNUMBER(J1093),ISNUMBER(I1093)),"数量×単価を使いました（金額の欄は使っていません）","")))))))</f>
        <v/>
      </c>
      <c r="N1093" s="91">
        <f>IF(AND(B1093&lt;&gt;"",B1093='案件カード'!$C$3),COUNTIF($B$5:B1093,'案件カード'!$C$3),"")</f>
        <v/>
      </c>
      <c r="O1093" s="91">
        <f>IF(ISNUMBER(K1093),IF(B1093="",K1093,IF(AND(ISNUMBER(MATCH(B1093,'案件'!$A$6:$A$105,0)),OR(D1093="材料費",D1093="労務費",D1093="外注費",D1093="経費")),0,K1093)),0)</f>
        <v/>
      </c>
    </row>
    <row r="1094" ht="16" customHeight="1">
      <c r="A1094" s="35" t="n"/>
      <c r="B1094" s="36" t="n"/>
      <c r="C1094" s="37">
        <f>IF(B1094="","",IFERROR(INDEX('案件'!$B$6:$B$105,MATCH(B1094,'案件'!$A$6:$A$105,0))&amp;"","（案件シートに無い番号）"))</f>
        <v/>
      </c>
      <c r="D1094" s="36" t="n"/>
      <c r="E1094" s="38" t="n"/>
      <c r="F1094" s="39" t="n"/>
      <c r="G1094" s="36" t="n"/>
      <c r="H1094" s="40" t="n"/>
      <c r="I1094" s="40" t="n"/>
      <c r="J1094" s="41">
        <f>IF(ISNUMBER(H1094),H1094,IF(AND(D1094="労務費",TRIM(E1094)&lt;&gt;""),IFERROR(INDEX('設定'!$G$12:$G$31,MATCH(TRIM(E1094),'設定'!$J$12:$J$31,0)),""),""))</f>
        <v/>
      </c>
      <c r="K1094" s="30">
        <f>IF(AND(ISNUMBER(F1094),ISNUMBER(J1094)),ROUND(F1094*J1094,0),IF(ISNUMBER(I1094),I1094,""))</f>
        <v/>
      </c>
      <c r="L1094" s="33" t="n"/>
      <c r="M1094" s="34">
        <f>IF(COUNTA(A1094:B1094,D1094:I1094,L1094)=0,"",IF(B1094="","案件番号がありません",IF(ISNA(MATCH(B1094,'案件'!$A$6:$A$105,0)),"案件シートに無い番号です",IF(NOT(OR(D1094="材料費",D1094="労務費",D1094="外注費",D1094="経費")),"費目を4つから選んでください",IF(K1094="",IF(AND(ISNUMBER(F1094),NOT(ISNUMBER(J1094))),IF(D1094="労務費","単価がありません（設定の作業者名と同じ書き方に）","単価がありません"),IF(AND(ISNUMBER(J1094),NOT(ISNUMBER(F1094))),"数量がありません","金額がありません")),IF(NOT(ISNUMBER(A1094)),"日付がありません（月別集計に入りません）",IF(AND(ISNUMBER(F1094),ISNUMBER(J1094),ISNUMBER(I1094)),"数量×単価を使いました（金額の欄は使っていません）","")))))))</f>
        <v/>
      </c>
      <c r="N1094" s="91">
        <f>IF(AND(B1094&lt;&gt;"",B1094='案件カード'!$C$3),COUNTIF($B$5:B1094,'案件カード'!$C$3),"")</f>
        <v/>
      </c>
      <c r="O1094" s="91">
        <f>IF(ISNUMBER(K1094),IF(B1094="",K1094,IF(AND(ISNUMBER(MATCH(B1094,'案件'!$A$6:$A$105,0)),OR(D1094="材料費",D1094="労務費",D1094="外注費",D1094="経費")),0,K1094)),0)</f>
        <v/>
      </c>
    </row>
    <row r="1095" ht="16" customHeight="1">
      <c r="A1095" s="35" t="n"/>
      <c r="B1095" s="36" t="n"/>
      <c r="C1095" s="37">
        <f>IF(B1095="","",IFERROR(INDEX('案件'!$B$6:$B$105,MATCH(B1095,'案件'!$A$6:$A$105,0))&amp;"","（案件シートに無い番号）"))</f>
        <v/>
      </c>
      <c r="D1095" s="36" t="n"/>
      <c r="E1095" s="38" t="n"/>
      <c r="F1095" s="39" t="n"/>
      <c r="G1095" s="36" t="n"/>
      <c r="H1095" s="40" t="n"/>
      <c r="I1095" s="40" t="n"/>
      <c r="J1095" s="41">
        <f>IF(ISNUMBER(H1095),H1095,IF(AND(D1095="労務費",TRIM(E1095)&lt;&gt;""),IFERROR(INDEX('設定'!$G$12:$G$31,MATCH(TRIM(E1095),'設定'!$J$12:$J$31,0)),""),""))</f>
        <v/>
      </c>
      <c r="K1095" s="30">
        <f>IF(AND(ISNUMBER(F1095),ISNUMBER(J1095)),ROUND(F1095*J1095,0),IF(ISNUMBER(I1095),I1095,""))</f>
        <v/>
      </c>
      <c r="L1095" s="33" t="n"/>
      <c r="M1095" s="34">
        <f>IF(COUNTA(A1095:B1095,D1095:I1095,L1095)=0,"",IF(B1095="","案件番号がありません",IF(ISNA(MATCH(B1095,'案件'!$A$6:$A$105,0)),"案件シートに無い番号です",IF(NOT(OR(D1095="材料費",D1095="労務費",D1095="外注費",D1095="経費")),"費目を4つから選んでください",IF(K1095="",IF(AND(ISNUMBER(F1095),NOT(ISNUMBER(J1095))),IF(D1095="労務費","単価がありません（設定の作業者名と同じ書き方に）","単価がありません"),IF(AND(ISNUMBER(J1095),NOT(ISNUMBER(F1095))),"数量がありません","金額がありません")),IF(NOT(ISNUMBER(A1095)),"日付がありません（月別集計に入りません）",IF(AND(ISNUMBER(F1095),ISNUMBER(J1095),ISNUMBER(I1095)),"数量×単価を使いました（金額の欄は使っていません）","")))))))</f>
        <v/>
      </c>
      <c r="N1095" s="91">
        <f>IF(AND(B1095&lt;&gt;"",B1095='案件カード'!$C$3),COUNTIF($B$5:B1095,'案件カード'!$C$3),"")</f>
        <v/>
      </c>
      <c r="O1095" s="91">
        <f>IF(ISNUMBER(K1095),IF(B1095="",K1095,IF(AND(ISNUMBER(MATCH(B1095,'案件'!$A$6:$A$105,0)),OR(D1095="材料費",D1095="労務費",D1095="外注費",D1095="経費")),0,K1095)),0)</f>
        <v/>
      </c>
    </row>
    <row r="1096" ht="16" customHeight="1">
      <c r="A1096" s="35" t="n"/>
      <c r="B1096" s="36" t="n"/>
      <c r="C1096" s="37">
        <f>IF(B1096="","",IFERROR(INDEX('案件'!$B$6:$B$105,MATCH(B1096,'案件'!$A$6:$A$105,0))&amp;"","（案件シートに無い番号）"))</f>
        <v/>
      </c>
      <c r="D1096" s="36" t="n"/>
      <c r="E1096" s="38" t="n"/>
      <c r="F1096" s="39" t="n"/>
      <c r="G1096" s="36" t="n"/>
      <c r="H1096" s="40" t="n"/>
      <c r="I1096" s="40" t="n"/>
      <c r="J1096" s="41">
        <f>IF(ISNUMBER(H1096),H1096,IF(AND(D1096="労務費",TRIM(E1096)&lt;&gt;""),IFERROR(INDEX('設定'!$G$12:$G$31,MATCH(TRIM(E1096),'設定'!$J$12:$J$31,0)),""),""))</f>
        <v/>
      </c>
      <c r="K1096" s="30">
        <f>IF(AND(ISNUMBER(F1096),ISNUMBER(J1096)),ROUND(F1096*J1096,0),IF(ISNUMBER(I1096),I1096,""))</f>
        <v/>
      </c>
      <c r="L1096" s="33" t="n"/>
      <c r="M1096" s="34">
        <f>IF(COUNTA(A1096:B1096,D1096:I1096,L1096)=0,"",IF(B1096="","案件番号がありません",IF(ISNA(MATCH(B1096,'案件'!$A$6:$A$105,0)),"案件シートに無い番号です",IF(NOT(OR(D1096="材料費",D1096="労務費",D1096="外注費",D1096="経費")),"費目を4つから選んでください",IF(K1096="",IF(AND(ISNUMBER(F1096),NOT(ISNUMBER(J1096))),IF(D1096="労務費","単価がありません（設定の作業者名と同じ書き方に）","単価がありません"),IF(AND(ISNUMBER(J1096),NOT(ISNUMBER(F1096))),"数量がありません","金額がありません")),IF(NOT(ISNUMBER(A1096)),"日付がありません（月別集計に入りません）",IF(AND(ISNUMBER(F1096),ISNUMBER(J1096),ISNUMBER(I1096)),"数量×単価を使いました（金額の欄は使っていません）","")))))))</f>
        <v/>
      </c>
      <c r="N1096" s="91">
        <f>IF(AND(B1096&lt;&gt;"",B1096='案件カード'!$C$3),COUNTIF($B$5:B1096,'案件カード'!$C$3),"")</f>
        <v/>
      </c>
      <c r="O1096" s="91">
        <f>IF(ISNUMBER(K1096),IF(B1096="",K1096,IF(AND(ISNUMBER(MATCH(B1096,'案件'!$A$6:$A$105,0)),OR(D1096="材料費",D1096="労務費",D1096="外注費",D1096="経費")),0,K1096)),0)</f>
        <v/>
      </c>
    </row>
    <row r="1097" ht="16" customHeight="1">
      <c r="A1097" s="35" t="n"/>
      <c r="B1097" s="36" t="n"/>
      <c r="C1097" s="37">
        <f>IF(B1097="","",IFERROR(INDEX('案件'!$B$6:$B$105,MATCH(B1097,'案件'!$A$6:$A$105,0))&amp;"","（案件シートに無い番号）"))</f>
        <v/>
      </c>
      <c r="D1097" s="36" t="n"/>
      <c r="E1097" s="38" t="n"/>
      <c r="F1097" s="39" t="n"/>
      <c r="G1097" s="36" t="n"/>
      <c r="H1097" s="40" t="n"/>
      <c r="I1097" s="40" t="n"/>
      <c r="J1097" s="41">
        <f>IF(ISNUMBER(H1097),H1097,IF(AND(D1097="労務費",TRIM(E1097)&lt;&gt;""),IFERROR(INDEX('設定'!$G$12:$G$31,MATCH(TRIM(E1097),'設定'!$J$12:$J$31,0)),""),""))</f>
        <v/>
      </c>
      <c r="K1097" s="30">
        <f>IF(AND(ISNUMBER(F1097),ISNUMBER(J1097)),ROUND(F1097*J1097,0),IF(ISNUMBER(I1097),I1097,""))</f>
        <v/>
      </c>
      <c r="L1097" s="33" t="n"/>
      <c r="M1097" s="34">
        <f>IF(COUNTA(A1097:B1097,D1097:I1097,L1097)=0,"",IF(B1097="","案件番号がありません",IF(ISNA(MATCH(B1097,'案件'!$A$6:$A$105,0)),"案件シートに無い番号です",IF(NOT(OR(D1097="材料費",D1097="労務費",D1097="外注費",D1097="経費")),"費目を4つから選んでください",IF(K1097="",IF(AND(ISNUMBER(F1097),NOT(ISNUMBER(J1097))),IF(D1097="労務費","単価がありません（設定の作業者名と同じ書き方に）","単価がありません"),IF(AND(ISNUMBER(J1097),NOT(ISNUMBER(F1097))),"数量がありません","金額がありません")),IF(NOT(ISNUMBER(A1097)),"日付がありません（月別集計に入りません）",IF(AND(ISNUMBER(F1097),ISNUMBER(J1097),ISNUMBER(I1097)),"数量×単価を使いました（金額の欄は使っていません）","")))))))</f>
        <v/>
      </c>
      <c r="N1097" s="91">
        <f>IF(AND(B1097&lt;&gt;"",B1097='案件カード'!$C$3),COUNTIF($B$5:B1097,'案件カード'!$C$3),"")</f>
        <v/>
      </c>
      <c r="O1097" s="91">
        <f>IF(ISNUMBER(K1097),IF(B1097="",K1097,IF(AND(ISNUMBER(MATCH(B1097,'案件'!$A$6:$A$105,0)),OR(D1097="材料費",D1097="労務費",D1097="外注費",D1097="経費")),0,K1097)),0)</f>
        <v/>
      </c>
    </row>
    <row r="1098" ht="16" customHeight="1">
      <c r="A1098" s="35" t="n"/>
      <c r="B1098" s="36" t="n"/>
      <c r="C1098" s="37">
        <f>IF(B1098="","",IFERROR(INDEX('案件'!$B$6:$B$105,MATCH(B1098,'案件'!$A$6:$A$105,0))&amp;"","（案件シートに無い番号）"))</f>
        <v/>
      </c>
      <c r="D1098" s="36" t="n"/>
      <c r="E1098" s="38" t="n"/>
      <c r="F1098" s="39" t="n"/>
      <c r="G1098" s="36" t="n"/>
      <c r="H1098" s="40" t="n"/>
      <c r="I1098" s="40" t="n"/>
      <c r="J1098" s="41">
        <f>IF(ISNUMBER(H1098),H1098,IF(AND(D1098="労務費",TRIM(E1098)&lt;&gt;""),IFERROR(INDEX('設定'!$G$12:$G$31,MATCH(TRIM(E1098),'設定'!$J$12:$J$31,0)),""),""))</f>
        <v/>
      </c>
      <c r="K1098" s="30">
        <f>IF(AND(ISNUMBER(F1098),ISNUMBER(J1098)),ROUND(F1098*J1098,0),IF(ISNUMBER(I1098),I1098,""))</f>
        <v/>
      </c>
      <c r="L1098" s="33" t="n"/>
      <c r="M1098" s="34">
        <f>IF(COUNTA(A1098:B1098,D1098:I1098,L1098)=0,"",IF(B1098="","案件番号がありません",IF(ISNA(MATCH(B1098,'案件'!$A$6:$A$105,0)),"案件シートに無い番号です",IF(NOT(OR(D1098="材料費",D1098="労務費",D1098="外注費",D1098="経費")),"費目を4つから選んでください",IF(K1098="",IF(AND(ISNUMBER(F1098),NOT(ISNUMBER(J1098))),IF(D1098="労務費","単価がありません（設定の作業者名と同じ書き方に）","単価がありません"),IF(AND(ISNUMBER(J1098),NOT(ISNUMBER(F1098))),"数量がありません","金額がありません")),IF(NOT(ISNUMBER(A1098)),"日付がありません（月別集計に入りません）",IF(AND(ISNUMBER(F1098),ISNUMBER(J1098),ISNUMBER(I1098)),"数量×単価を使いました（金額の欄は使っていません）","")))))))</f>
        <v/>
      </c>
      <c r="N1098" s="91">
        <f>IF(AND(B1098&lt;&gt;"",B1098='案件カード'!$C$3),COUNTIF($B$5:B1098,'案件カード'!$C$3),"")</f>
        <v/>
      </c>
      <c r="O1098" s="91">
        <f>IF(ISNUMBER(K1098),IF(B1098="",K1098,IF(AND(ISNUMBER(MATCH(B1098,'案件'!$A$6:$A$105,0)),OR(D1098="材料費",D1098="労務費",D1098="外注費",D1098="経費")),0,K1098)),0)</f>
        <v/>
      </c>
    </row>
    <row r="1099" ht="16" customHeight="1">
      <c r="A1099" s="35" t="n"/>
      <c r="B1099" s="36" t="n"/>
      <c r="C1099" s="37">
        <f>IF(B1099="","",IFERROR(INDEX('案件'!$B$6:$B$105,MATCH(B1099,'案件'!$A$6:$A$105,0))&amp;"","（案件シートに無い番号）"))</f>
        <v/>
      </c>
      <c r="D1099" s="36" t="n"/>
      <c r="E1099" s="38" t="n"/>
      <c r="F1099" s="39" t="n"/>
      <c r="G1099" s="36" t="n"/>
      <c r="H1099" s="40" t="n"/>
      <c r="I1099" s="40" t="n"/>
      <c r="J1099" s="41">
        <f>IF(ISNUMBER(H1099),H1099,IF(AND(D1099="労務費",TRIM(E1099)&lt;&gt;""),IFERROR(INDEX('設定'!$G$12:$G$31,MATCH(TRIM(E1099),'設定'!$J$12:$J$31,0)),""),""))</f>
        <v/>
      </c>
      <c r="K1099" s="30">
        <f>IF(AND(ISNUMBER(F1099),ISNUMBER(J1099)),ROUND(F1099*J1099,0),IF(ISNUMBER(I1099),I1099,""))</f>
        <v/>
      </c>
      <c r="L1099" s="33" t="n"/>
      <c r="M1099" s="34">
        <f>IF(COUNTA(A1099:B1099,D1099:I1099,L1099)=0,"",IF(B1099="","案件番号がありません",IF(ISNA(MATCH(B1099,'案件'!$A$6:$A$105,0)),"案件シートに無い番号です",IF(NOT(OR(D1099="材料費",D1099="労務費",D1099="外注費",D1099="経費")),"費目を4つから選んでください",IF(K1099="",IF(AND(ISNUMBER(F1099),NOT(ISNUMBER(J1099))),IF(D1099="労務費","単価がありません（設定の作業者名と同じ書き方に）","単価がありません"),IF(AND(ISNUMBER(J1099),NOT(ISNUMBER(F1099))),"数量がありません","金額がありません")),IF(NOT(ISNUMBER(A1099)),"日付がありません（月別集計に入りません）",IF(AND(ISNUMBER(F1099),ISNUMBER(J1099),ISNUMBER(I1099)),"数量×単価を使いました（金額の欄は使っていません）","")))))))</f>
        <v/>
      </c>
      <c r="N1099" s="91">
        <f>IF(AND(B1099&lt;&gt;"",B1099='案件カード'!$C$3),COUNTIF($B$5:B1099,'案件カード'!$C$3),"")</f>
        <v/>
      </c>
      <c r="O1099" s="91">
        <f>IF(ISNUMBER(K1099),IF(B1099="",K1099,IF(AND(ISNUMBER(MATCH(B1099,'案件'!$A$6:$A$105,0)),OR(D1099="材料費",D1099="労務費",D1099="外注費",D1099="経費")),0,K1099)),0)</f>
        <v/>
      </c>
    </row>
    <row r="1100" ht="16" customHeight="1">
      <c r="A1100" s="35" t="n"/>
      <c r="B1100" s="36" t="n"/>
      <c r="C1100" s="37">
        <f>IF(B1100="","",IFERROR(INDEX('案件'!$B$6:$B$105,MATCH(B1100,'案件'!$A$6:$A$105,0))&amp;"","（案件シートに無い番号）"))</f>
        <v/>
      </c>
      <c r="D1100" s="36" t="n"/>
      <c r="E1100" s="38" t="n"/>
      <c r="F1100" s="39" t="n"/>
      <c r="G1100" s="36" t="n"/>
      <c r="H1100" s="40" t="n"/>
      <c r="I1100" s="40" t="n"/>
      <c r="J1100" s="41">
        <f>IF(ISNUMBER(H1100),H1100,IF(AND(D1100="労務費",TRIM(E1100)&lt;&gt;""),IFERROR(INDEX('設定'!$G$12:$G$31,MATCH(TRIM(E1100),'設定'!$J$12:$J$31,0)),""),""))</f>
        <v/>
      </c>
      <c r="K1100" s="30">
        <f>IF(AND(ISNUMBER(F1100),ISNUMBER(J1100)),ROUND(F1100*J1100,0),IF(ISNUMBER(I1100),I1100,""))</f>
        <v/>
      </c>
      <c r="L1100" s="33" t="n"/>
      <c r="M1100" s="34">
        <f>IF(COUNTA(A1100:B1100,D1100:I1100,L1100)=0,"",IF(B1100="","案件番号がありません",IF(ISNA(MATCH(B1100,'案件'!$A$6:$A$105,0)),"案件シートに無い番号です",IF(NOT(OR(D1100="材料費",D1100="労務費",D1100="外注費",D1100="経費")),"費目を4つから選んでください",IF(K1100="",IF(AND(ISNUMBER(F1100),NOT(ISNUMBER(J1100))),IF(D1100="労務費","単価がありません（設定の作業者名と同じ書き方に）","単価がありません"),IF(AND(ISNUMBER(J1100),NOT(ISNUMBER(F1100))),"数量がありません","金額がありません")),IF(NOT(ISNUMBER(A1100)),"日付がありません（月別集計に入りません）",IF(AND(ISNUMBER(F1100),ISNUMBER(J1100),ISNUMBER(I1100)),"数量×単価を使いました（金額の欄は使っていません）","")))))))</f>
        <v/>
      </c>
      <c r="N1100" s="91">
        <f>IF(AND(B1100&lt;&gt;"",B1100='案件カード'!$C$3),COUNTIF($B$5:B1100,'案件カード'!$C$3),"")</f>
        <v/>
      </c>
      <c r="O1100" s="91">
        <f>IF(ISNUMBER(K1100),IF(B1100="",K1100,IF(AND(ISNUMBER(MATCH(B1100,'案件'!$A$6:$A$105,0)),OR(D1100="材料費",D1100="労務費",D1100="外注費",D1100="経費")),0,K1100)),0)</f>
        <v/>
      </c>
    </row>
    <row r="1101" ht="16" customHeight="1">
      <c r="A1101" s="35" t="n"/>
      <c r="B1101" s="36" t="n"/>
      <c r="C1101" s="37">
        <f>IF(B1101="","",IFERROR(INDEX('案件'!$B$6:$B$105,MATCH(B1101,'案件'!$A$6:$A$105,0))&amp;"","（案件シートに無い番号）"))</f>
        <v/>
      </c>
      <c r="D1101" s="36" t="n"/>
      <c r="E1101" s="38" t="n"/>
      <c r="F1101" s="39" t="n"/>
      <c r="G1101" s="36" t="n"/>
      <c r="H1101" s="40" t="n"/>
      <c r="I1101" s="40" t="n"/>
      <c r="J1101" s="41">
        <f>IF(ISNUMBER(H1101),H1101,IF(AND(D1101="労務費",TRIM(E1101)&lt;&gt;""),IFERROR(INDEX('設定'!$G$12:$G$31,MATCH(TRIM(E1101),'設定'!$J$12:$J$31,0)),""),""))</f>
        <v/>
      </c>
      <c r="K1101" s="30">
        <f>IF(AND(ISNUMBER(F1101),ISNUMBER(J1101)),ROUND(F1101*J1101,0),IF(ISNUMBER(I1101),I1101,""))</f>
        <v/>
      </c>
      <c r="L1101" s="33" t="n"/>
      <c r="M1101" s="34">
        <f>IF(COUNTA(A1101:B1101,D1101:I1101,L1101)=0,"",IF(B1101="","案件番号がありません",IF(ISNA(MATCH(B1101,'案件'!$A$6:$A$105,0)),"案件シートに無い番号です",IF(NOT(OR(D1101="材料費",D1101="労務費",D1101="外注費",D1101="経費")),"費目を4つから選んでください",IF(K1101="",IF(AND(ISNUMBER(F1101),NOT(ISNUMBER(J1101))),IF(D1101="労務費","単価がありません（設定の作業者名と同じ書き方に）","単価がありません"),IF(AND(ISNUMBER(J1101),NOT(ISNUMBER(F1101))),"数量がありません","金額がありません")),IF(NOT(ISNUMBER(A1101)),"日付がありません（月別集計に入りません）",IF(AND(ISNUMBER(F1101),ISNUMBER(J1101),ISNUMBER(I1101)),"数量×単価を使いました（金額の欄は使っていません）","")))))))</f>
        <v/>
      </c>
      <c r="N1101" s="91">
        <f>IF(AND(B1101&lt;&gt;"",B1101='案件カード'!$C$3),COUNTIF($B$5:B1101,'案件カード'!$C$3),"")</f>
        <v/>
      </c>
      <c r="O1101" s="91">
        <f>IF(ISNUMBER(K1101),IF(B1101="",K1101,IF(AND(ISNUMBER(MATCH(B1101,'案件'!$A$6:$A$105,0)),OR(D1101="材料費",D1101="労務費",D1101="外注費",D1101="経費")),0,K1101)),0)</f>
        <v/>
      </c>
    </row>
    <row r="1102" ht="16" customHeight="1">
      <c r="A1102" s="35" t="n"/>
      <c r="B1102" s="36" t="n"/>
      <c r="C1102" s="37">
        <f>IF(B1102="","",IFERROR(INDEX('案件'!$B$6:$B$105,MATCH(B1102,'案件'!$A$6:$A$105,0))&amp;"","（案件シートに無い番号）"))</f>
        <v/>
      </c>
      <c r="D1102" s="36" t="n"/>
      <c r="E1102" s="38" t="n"/>
      <c r="F1102" s="39" t="n"/>
      <c r="G1102" s="36" t="n"/>
      <c r="H1102" s="40" t="n"/>
      <c r="I1102" s="40" t="n"/>
      <c r="J1102" s="41">
        <f>IF(ISNUMBER(H1102),H1102,IF(AND(D1102="労務費",TRIM(E1102)&lt;&gt;""),IFERROR(INDEX('設定'!$G$12:$G$31,MATCH(TRIM(E1102),'設定'!$J$12:$J$31,0)),""),""))</f>
        <v/>
      </c>
      <c r="K1102" s="30">
        <f>IF(AND(ISNUMBER(F1102),ISNUMBER(J1102)),ROUND(F1102*J1102,0),IF(ISNUMBER(I1102),I1102,""))</f>
        <v/>
      </c>
      <c r="L1102" s="33" t="n"/>
      <c r="M1102" s="34">
        <f>IF(COUNTA(A1102:B1102,D1102:I1102,L1102)=0,"",IF(B1102="","案件番号がありません",IF(ISNA(MATCH(B1102,'案件'!$A$6:$A$105,0)),"案件シートに無い番号です",IF(NOT(OR(D1102="材料費",D1102="労務費",D1102="外注費",D1102="経費")),"費目を4つから選んでください",IF(K1102="",IF(AND(ISNUMBER(F1102),NOT(ISNUMBER(J1102))),IF(D1102="労務費","単価がありません（設定の作業者名と同じ書き方に）","単価がありません"),IF(AND(ISNUMBER(J1102),NOT(ISNUMBER(F1102))),"数量がありません","金額がありません")),IF(NOT(ISNUMBER(A1102)),"日付がありません（月別集計に入りません）",IF(AND(ISNUMBER(F1102),ISNUMBER(J1102),ISNUMBER(I1102)),"数量×単価を使いました（金額の欄は使っていません）","")))))))</f>
        <v/>
      </c>
      <c r="N1102" s="91">
        <f>IF(AND(B1102&lt;&gt;"",B1102='案件カード'!$C$3),COUNTIF($B$5:B1102,'案件カード'!$C$3),"")</f>
        <v/>
      </c>
      <c r="O1102" s="91">
        <f>IF(ISNUMBER(K1102),IF(B1102="",K1102,IF(AND(ISNUMBER(MATCH(B1102,'案件'!$A$6:$A$105,0)),OR(D1102="材料費",D1102="労務費",D1102="外注費",D1102="経費")),0,K1102)),0)</f>
        <v/>
      </c>
    </row>
    <row r="1103" ht="16" customHeight="1">
      <c r="A1103" s="35" t="n"/>
      <c r="B1103" s="36" t="n"/>
      <c r="C1103" s="37">
        <f>IF(B1103="","",IFERROR(INDEX('案件'!$B$6:$B$105,MATCH(B1103,'案件'!$A$6:$A$105,0))&amp;"","（案件シートに無い番号）"))</f>
        <v/>
      </c>
      <c r="D1103" s="36" t="n"/>
      <c r="E1103" s="38" t="n"/>
      <c r="F1103" s="39" t="n"/>
      <c r="G1103" s="36" t="n"/>
      <c r="H1103" s="40" t="n"/>
      <c r="I1103" s="40" t="n"/>
      <c r="J1103" s="41">
        <f>IF(ISNUMBER(H1103),H1103,IF(AND(D1103="労務費",TRIM(E1103)&lt;&gt;""),IFERROR(INDEX('設定'!$G$12:$G$31,MATCH(TRIM(E1103),'設定'!$J$12:$J$31,0)),""),""))</f>
        <v/>
      </c>
      <c r="K1103" s="30">
        <f>IF(AND(ISNUMBER(F1103),ISNUMBER(J1103)),ROUND(F1103*J1103,0),IF(ISNUMBER(I1103),I1103,""))</f>
        <v/>
      </c>
      <c r="L1103" s="33" t="n"/>
      <c r="M1103" s="34">
        <f>IF(COUNTA(A1103:B1103,D1103:I1103,L1103)=0,"",IF(B1103="","案件番号がありません",IF(ISNA(MATCH(B1103,'案件'!$A$6:$A$105,0)),"案件シートに無い番号です",IF(NOT(OR(D1103="材料費",D1103="労務費",D1103="外注費",D1103="経費")),"費目を4つから選んでください",IF(K1103="",IF(AND(ISNUMBER(F1103),NOT(ISNUMBER(J1103))),IF(D1103="労務費","単価がありません（設定の作業者名と同じ書き方に）","単価がありません"),IF(AND(ISNUMBER(J1103),NOT(ISNUMBER(F1103))),"数量がありません","金額がありません")),IF(NOT(ISNUMBER(A1103)),"日付がありません（月別集計に入りません）",IF(AND(ISNUMBER(F1103),ISNUMBER(J1103),ISNUMBER(I1103)),"数量×単価を使いました（金額の欄は使っていません）","")))))))</f>
        <v/>
      </c>
      <c r="N1103" s="91">
        <f>IF(AND(B1103&lt;&gt;"",B1103='案件カード'!$C$3),COUNTIF($B$5:B1103,'案件カード'!$C$3),"")</f>
        <v/>
      </c>
      <c r="O1103" s="91">
        <f>IF(ISNUMBER(K1103),IF(B1103="",K1103,IF(AND(ISNUMBER(MATCH(B1103,'案件'!$A$6:$A$105,0)),OR(D1103="材料費",D1103="労務費",D1103="外注費",D1103="経費")),0,K1103)),0)</f>
        <v/>
      </c>
    </row>
    <row r="1104" ht="16" customHeight="1">
      <c r="A1104" s="35" t="n"/>
      <c r="B1104" s="36" t="n"/>
      <c r="C1104" s="37">
        <f>IF(B1104="","",IFERROR(INDEX('案件'!$B$6:$B$105,MATCH(B1104,'案件'!$A$6:$A$105,0))&amp;"","（案件シートに無い番号）"))</f>
        <v/>
      </c>
      <c r="D1104" s="36" t="n"/>
      <c r="E1104" s="38" t="n"/>
      <c r="F1104" s="39" t="n"/>
      <c r="G1104" s="36" t="n"/>
      <c r="H1104" s="40" t="n"/>
      <c r="I1104" s="40" t="n"/>
      <c r="J1104" s="41">
        <f>IF(ISNUMBER(H1104),H1104,IF(AND(D1104="労務費",TRIM(E1104)&lt;&gt;""),IFERROR(INDEX('設定'!$G$12:$G$31,MATCH(TRIM(E1104),'設定'!$J$12:$J$31,0)),""),""))</f>
        <v/>
      </c>
      <c r="K1104" s="30">
        <f>IF(AND(ISNUMBER(F1104),ISNUMBER(J1104)),ROUND(F1104*J1104,0),IF(ISNUMBER(I1104),I1104,""))</f>
        <v/>
      </c>
      <c r="L1104" s="33" t="n"/>
      <c r="M1104" s="34">
        <f>IF(COUNTA(A1104:B1104,D1104:I1104,L1104)=0,"",IF(B1104="","案件番号がありません",IF(ISNA(MATCH(B1104,'案件'!$A$6:$A$105,0)),"案件シートに無い番号です",IF(NOT(OR(D1104="材料費",D1104="労務費",D1104="外注費",D1104="経費")),"費目を4つから選んでください",IF(K1104="",IF(AND(ISNUMBER(F1104),NOT(ISNUMBER(J1104))),IF(D1104="労務費","単価がありません（設定の作業者名と同じ書き方に）","単価がありません"),IF(AND(ISNUMBER(J1104),NOT(ISNUMBER(F1104))),"数量がありません","金額がありません")),IF(NOT(ISNUMBER(A1104)),"日付がありません（月別集計に入りません）",IF(AND(ISNUMBER(F1104),ISNUMBER(J1104),ISNUMBER(I1104)),"数量×単価を使いました（金額の欄は使っていません）","")))))))</f>
        <v/>
      </c>
      <c r="N1104" s="91">
        <f>IF(AND(B1104&lt;&gt;"",B1104='案件カード'!$C$3),COUNTIF($B$5:B1104,'案件カード'!$C$3),"")</f>
        <v/>
      </c>
      <c r="O1104" s="91">
        <f>IF(ISNUMBER(K1104),IF(B1104="",K1104,IF(AND(ISNUMBER(MATCH(B1104,'案件'!$A$6:$A$105,0)),OR(D1104="材料費",D1104="労務費",D1104="外注費",D1104="経費")),0,K1104)),0)</f>
        <v/>
      </c>
    </row>
    <row r="1105" ht="16" customHeight="1">
      <c r="A1105" s="35" t="n"/>
      <c r="B1105" s="36" t="n"/>
      <c r="C1105" s="37">
        <f>IF(B1105="","",IFERROR(INDEX('案件'!$B$6:$B$105,MATCH(B1105,'案件'!$A$6:$A$105,0))&amp;"","（案件シートに無い番号）"))</f>
        <v/>
      </c>
      <c r="D1105" s="36" t="n"/>
      <c r="E1105" s="38" t="n"/>
      <c r="F1105" s="39" t="n"/>
      <c r="G1105" s="36" t="n"/>
      <c r="H1105" s="40" t="n"/>
      <c r="I1105" s="40" t="n"/>
      <c r="J1105" s="41">
        <f>IF(ISNUMBER(H1105),H1105,IF(AND(D1105="労務費",TRIM(E1105)&lt;&gt;""),IFERROR(INDEX('設定'!$G$12:$G$31,MATCH(TRIM(E1105),'設定'!$J$12:$J$31,0)),""),""))</f>
        <v/>
      </c>
      <c r="K1105" s="30">
        <f>IF(AND(ISNUMBER(F1105),ISNUMBER(J1105)),ROUND(F1105*J1105,0),IF(ISNUMBER(I1105),I1105,""))</f>
        <v/>
      </c>
      <c r="L1105" s="33" t="n"/>
      <c r="M1105" s="34">
        <f>IF(COUNTA(A1105:B1105,D1105:I1105,L1105)=0,"",IF(B1105="","案件番号がありません",IF(ISNA(MATCH(B1105,'案件'!$A$6:$A$105,0)),"案件シートに無い番号です",IF(NOT(OR(D1105="材料費",D1105="労務費",D1105="外注費",D1105="経費")),"費目を4つから選んでください",IF(K1105="",IF(AND(ISNUMBER(F1105),NOT(ISNUMBER(J1105))),IF(D1105="労務費","単価がありません（設定の作業者名と同じ書き方に）","単価がありません"),IF(AND(ISNUMBER(J1105),NOT(ISNUMBER(F1105))),"数量がありません","金額がありません")),IF(NOT(ISNUMBER(A1105)),"日付がありません（月別集計に入りません）",IF(AND(ISNUMBER(F1105),ISNUMBER(J1105),ISNUMBER(I1105)),"数量×単価を使いました（金額の欄は使っていません）","")))))))</f>
        <v/>
      </c>
      <c r="N1105" s="91">
        <f>IF(AND(B1105&lt;&gt;"",B1105='案件カード'!$C$3),COUNTIF($B$5:B1105,'案件カード'!$C$3),"")</f>
        <v/>
      </c>
      <c r="O1105" s="91">
        <f>IF(ISNUMBER(K1105),IF(B1105="",K1105,IF(AND(ISNUMBER(MATCH(B1105,'案件'!$A$6:$A$105,0)),OR(D1105="材料費",D1105="労務費",D1105="外注費",D1105="経費")),0,K1105)),0)</f>
        <v/>
      </c>
    </row>
    <row r="1106" ht="16" customHeight="1">
      <c r="A1106" s="35" t="n"/>
      <c r="B1106" s="36" t="n"/>
      <c r="C1106" s="37">
        <f>IF(B1106="","",IFERROR(INDEX('案件'!$B$6:$B$105,MATCH(B1106,'案件'!$A$6:$A$105,0))&amp;"","（案件シートに無い番号）"))</f>
        <v/>
      </c>
      <c r="D1106" s="36" t="n"/>
      <c r="E1106" s="38" t="n"/>
      <c r="F1106" s="39" t="n"/>
      <c r="G1106" s="36" t="n"/>
      <c r="H1106" s="40" t="n"/>
      <c r="I1106" s="40" t="n"/>
      <c r="J1106" s="41">
        <f>IF(ISNUMBER(H1106),H1106,IF(AND(D1106="労務費",TRIM(E1106)&lt;&gt;""),IFERROR(INDEX('設定'!$G$12:$G$31,MATCH(TRIM(E1106),'設定'!$J$12:$J$31,0)),""),""))</f>
        <v/>
      </c>
      <c r="K1106" s="30">
        <f>IF(AND(ISNUMBER(F1106),ISNUMBER(J1106)),ROUND(F1106*J1106,0),IF(ISNUMBER(I1106),I1106,""))</f>
        <v/>
      </c>
      <c r="L1106" s="33" t="n"/>
      <c r="M1106" s="34">
        <f>IF(COUNTA(A1106:B1106,D1106:I1106,L1106)=0,"",IF(B1106="","案件番号がありません",IF(ISNA(MATCH(B1106,'案件'!$A$6:$A$105,0)),"案件シートに無い番号です",IF(NOT(OR(D1106="材料費",D1106="労務費",D1106="外注費",D1106="経費")),"費目を4つから選んでください",IF(K1106="",IF(AND(ISNUMBER(F1106),NOT(ISNUMBER(J1106))),IF(D1106="労務費","単価がありません（設定の作業者名と同じ書き方に）","単価がありません"),IF(AND(ISNUMBER(J1106),NOT(ISNUMBER(F1106))),"数量がありません","金額がありません")),IF(NOT(ISNUMBER(A1106)),"日付がありません（月別集計に入りません）",IF(AND(ISNUMBER(F1106),ISNUMBER(J1106),ISNUMBER(I1106)),"数量×単価を使いました（金額の欄は使っていません）","")))))))</f>
        <v/>
      </c>
      <c r="N1106" s="91">
        <f>IF(AND(B1106&lt;&gt;"",B1106='案件カード'!$C$3),COUNTIF($B$5:B1106,'案件カード'!$C$3),"")</f>
        <v/>
      </c>
      <c r="O1106" s="91">
        <f>IF(ISNUMBER(K1106),IF(B1106="",K1106,IF(AND(ISNUMBER(MATCH(B1106,'案件'!$A$6:$A$105,0)),OR(D1106="材料費",D1106="労務費",D1106="外注費",D1106="経費")),0,K1106)),0)</f>
        <v/>
      </c>
    </row>
    <row r="1107" ht="16" customHeight="1">
      <c r="A1107" s="35" t="n"/>
      <c r="B1107" s="36" t="n"/>
      <c r="C1107" s="37">
        <f>IF(B1107="","",IFERROR(INDEX('案件'!$B$6:$B$105,MATCH(B1107,'案件'!$A$6:$A$105,0))&amp;"","（案件シートに無い番号）"))</f>
        <v/>
      </c>
      <c r="D1107" s="36" t="n"/>
      <c r="E1107" s="38" t="n"/>
      <c r="F1107" s="39" t="n"/>
      <c r="G1107" s="36" t="n"/>
      <c r="H1107" s="40" t="n"/>
      <c r="I1107" s="40" t="n"/>
      <c r="J1107" s="41">
        <f>IF(ISNUMBER(H1107),H1107,IF(AND(D1107="労務費",TRIM(E1107)&lt;&gt;""),IFERROR(INDEX('設定'!$G$12:$G$31,MATCH(TRIM(E1107),'設定'!$J$12:$J$31,0)),""),""))</f>
        <v/>
      </c>
      <c r="K1107" s="30">
        <f>IF(AND(ISNUMBER(F1107),ISNUMBER(J1107)),ROUND(F1107*J1107,0),IF(ISNUMBER(I1107),I1107,""))</f>
        <v/>
      </c>
      <c r="L1107" s="33" t="n"/>
      <c r="M1107" s="34">
        <f>IF(COUNTA(A1107:B1107,D1107:I1107,L1107)=0,"",IF(B1107="","案件番号がありません",IF(ISNA(MATCH(B1107,'案件'!$A$6:$A$105,0)),"案件シートに無い番号です",IF(NOT(OR(D1107="材料費",D1107="労務費",D1107="外注費",D1107="経費")),"費目を4つから選んでください",IF(K1107="",IF(AND(ISNUMBER(F1107),NOT(ISNUMBER(J1107))),IF(D1107="労務費","単価がありません（設定の作業者名と同じ書き方に）","単価がありません"),IF(AND(ISNUMBER(J1107),NOT(ISNUMBER(F1107))),"数量がありません","金額がありません")),IF(NOT(ISNUMBER(A1107)),"日付がありません（月別集計に入りません）",IF(AND(ISNUMBER(F1107),ISNUMBER(J1107),ISNUMBER(I1107)),"数量×単価を使いました（金額の欄は使っていません）","")))))))</f>
        <v/>
      </c>
      <c r="N1107" s="91">
        <f>IF(AND(B1107&lt;&gt;"",B1107='案件カード'!$C$3),COUNTIF($B$5:B1107,'案件カード'!$C$3),"")</f>
        <v/>
      </c>
      <c r="O1107" s="91">
        <f>IF(ISNUMBER(K1107),IF(B1107="",K1107,IF(AND(ISNUMBER(MATCH(B1107,'案件'!$A$6:$A$105,0)),OR(D1107="材料費",D1107="労務費",D1107="外注費",D1107="経費")),0,K1107)),0)</f>
        <v/>
      </c>
    </row>
    <row r="1108" ht="16" customHeight="1">
      <c r="A1108" s="35" t="n"/>
      <c r="B1108" s="36" t="n"/>
      <c r="C1108" s="37">
        <f>IF(B1108="","",IFERROR(INDEX('案件'!$B$6:$B$105,MATCH(B1108,'案件'!$A$6:$A$105,0))&amp;"","（案件シートに無い番号）"))</f>
        <v/>
      </c>
      <c r="D1108" s="36" t="n"/>
      <c r="E1108" s="38" t="n"/>
      <c r="F1108" s="39" t="n"/>
      <c r="G1108" s="36" t="n"/>
      <c r="H1108" s="40" t="n"/>
      <c r="I1108" s="40" t="n"/>
      <c r="J1108" s="41">
        <f>IF(ISNUMBER(H1108),H1108,IF(AND(D1108="労務費",TRIM(E1108)&lt;&gt;""),IFERROR(INDEX('設定'!$G$12:$G$31,MATCH(TRIM(E1108),'設定'!$J$12:$J$31,0)),""),""))</f>
        <v/>
      </c>
      <c r="K1108" s="30">
        <f>IF(AND(ISNUMBER(F1108),ISNUMBER(J1108)),ROUND(F1108*J1108,0),IF(ISNUMBER(I1108),I1108,""))</f>
        <v/>
      </c>
      <c r="L1108" s="33" t="n"/>
      <c r="M1108" s="34">
        <f>IF(COUNTA(A1108:B1108,D1108:I1108,L1108)=0,"",IF(B1108="","案件番号がありません",IF(ISNA(MATCH(B1108,'案件'!$A$6:$A$105,0)),"案件シートに無い番号です",IF(NOT(OR(D1108="材料費",D1108="労務費",D1108="外注費",D1108="経費")),"費目を4つから選んでください",IF(K1108="",IF(AND(ISNUMBER(F1108),NOT(ISNUMBER(J1108))),IF(D1108="労務費","単価がありません（設定の作業者名と同じ書き方に）","単価がありません"),IF(AND(ISNUMBER(J1108),NOT(ISNUMBER(F1108))),"数量がありません","金額がありません")),IF(NOT(ISNUMBER(A1108)),"日付がありません（月別集計に入りません）",IF(AND(ISNUMBER(F1108),ISNUMBER(J1108),ISNUMBER(I1108)),"数量×単価を使いました（金額の欄は使っていません）","")))))))</f>
        <v/>
      </c>
      <c r="N1108" s="91">
        <f>IF(AND(B1108&lt;&gt;"",B1108='案件カード'!$C$3),COUNTIF($B$5:B1108,'案件カード'!$C$3),"")</f>
        <v/>
      </c>
      <c r="O1108" s="91">
        <f>IF(ISNUMBER(K1108),IF(B1108="",K1108,IF(AND(ISNUMBER(MATCH(B1108,'案件'!$A$6:$A$105,0)),OR(D1108="材料費",D1108="労務費",D1108="外注費",D1108="経費")),0,K1108)),0)</f>
        <v/>
      </c>
    </row>
    <row r="1109" ht="16" customHeight="1">
      <c r="A1109" s="35" t="n"/>
      <c r="B1109" s="36" t="n"/>
      <c r="C1109" s="37">
        <f>IF(B1109="","",IFERROR(INDEX('案件'!$B$6:$B$105,MATCH(B1109,'案件'!$A$6:$A$105,0))&amp;"","（案件シートに無い番号）"))</f>
        <v/>
      </c>
      <c r="D1109" s="36" t="n"/>
      <c r="E1109" s="38" t="n"/>
      <c r="F1109" s="39" t="n"/>
      <c r="G1109" s="36" t="n"/>
      <c r="H1109" s="40" t="n"/>
      <c r="I1109" s="40" t="n"/>
      <c r="J1109" s="41">
        <f>IF(ISNUMBER(H1109),H1109,IF(AND(D1109="労務費",TRIM(E1109)&lt;&gt;""),IFERROR(INDEX('設定'!$G$12:$G$31,MATCH(TRIM(E1109),'設定'!$J$12:$J$31,0)),""),""))</f>
        <v/>
      </c>
      <c r="K1109" s="30">
        <f>IF(AND(ISNUMBER(F1109),ISNUMBER(J1109)),ROUND(F1109*J1109,0),IF(ISNUMBER(I1109),I1109,""))</f>
        <v/>
      </c>
      <c r="L1109" s="33" t="n"/>
      <c r="M1109" s="34">
        <f>IF(COUNTA(A1109:B1109,D1109:I1109,L1109)=0,"",IF(B1109="","案件番号がありません",IF(ISNA(MATCH(B1109,'案件'!$A$6:$A$105,0)),"案件シートに無い番号です",IF(NOT(OR(D1109="材料費",D1109="労務費",D1109="外注費",D1109="経費")),"費目を4つから選んでください",IF(K1109="",IF(AND(ISNUMBER(F1109),NOT(ISNUMBER(J1109))),IF(D1109="労務費","単価がありません（設定の作業者名と同じ書き方に）","単価がありません"),IF(AND(ISNUMBER(J1109),NOT(ISNUMBER(F1109))),"数量がありません","金額がありません")),IF(NOT(ISNUMBER(A1109)),"日付がありません（月別集計に入りません）",IF(AND(ISNUMBER(F1109),ISNUMBER(J1109),ISNUMBER(I1109)),"数量×単価を使いました（金額の欄は使っていません）","")))))))</f>
        <v/>
      </c>
      <c r="N1109" s="91">
        <f>IF(AND(B1109&lt;&gt;"",B1109='案件カード'!$C$3),COUNTIF($B$5:B1109,'案件カード'!$C$3),"")</f>
        <v/>
      </c>
      <c r="O1109" s="91">
        <f>IF(ISNUMBER(K1109),IF(B1109="",K1109,IF(AND(ISNUMBER(MATCH(B1109,'案件'!$A$6:$A$105,0)),OR(D1109="材料費",D1109="労務費",D1109="外注費",D1109="経費")),0,K1109)),0)</f>
        <v/>
      </c>
    </row>
    <row r="1110" ht="16" customHeight="1">
      <c r="A1110" s="35" t="n"/>
      <c r="B1110" s="36" t="n"/>
      <c r="C1110" s="37">
        <f>IF(B1110="","",IFERROR(INDEX('案件'!$B$6:$B$105,MATCH(B1110,'案件'!$A$6:$A$105,0))&amp;"","（案件シートに無い番号）"))</f>
        <v/>
      </c>
      <c r="D1110" s="36" t="n"/>
      <c r="E1110" s="38" t="n"/>
      <c r="F1110" s="39" t="n"/>
      <c r="G1110" s="36" t="n"/>
      <c r="H1110" s="40" t="n"/>
      <c r="I1110" s="40" t="n"/>
      <c r="J1110" s="41">
        <f>IF(ISNUMBER(H1110),H1110,IF(AND(D1110="労務費",TRIM(E1110)&lt;&gt;""),IFERROR(INDEX('設定'!$G$12:$G$31,MATCH(TRIM(E1110),'設定'!$J$12:$J$31,0)),""),""))</f>
        <v/>
      </c>
      <c r="K1110" s="30">
        <f>IF(AND(ISNUMBER(F1110),ISNUMBER(J1110)),ROUND(F1110*J1110,0),IF(ISNUMBER(I1110),I1110,""))</f>
        <v/>
      </c>
      <c r="L1110" s="33" t="n"/>
      <c r="M1110" s="34">
        <f>IF(COUNTA(A1110:B1110,D1110:I1110,L1110)=0,"",IF(B1110="","案件番号がありません",IF(ISNA(MATCH(B1110,'案件'!$A$6:$A$105,0)),"案件シートに無い番号です",IF(NOT(OR(D1110="材料費",D1110="労務費",D1110="外注費",D1110="経費")),"費目を4つから選んでください",IF(K1110="",IF(AND(ISNUMBER(F1110),NOT(ISNUMBER(J1110))),IF(D1110="労務費","単価がありません（設定の作業者名と同じ書き方に）","単価がありません"),IF(AND(ISNUMBER(J1110),NOT(ISNUMBER(F1110))),"数量がありません","金額がありません")),IF(NOT(ISNUMBER(A1110)),"日付がありません（月別集計に入りません）",IF(AND(ISNUMBER(F1110),ISNUMBER(J1110),ISNUMBER(I1110)),"数量×単価を使いました（金額の欄は使っていません）","")))))))</f>
        <v/>
      </c>
      <c r="N1110" s="91">
        <f>IF(AND(B1110&lt;&gt;"",B1110='案件カード'!$C$3),COUNTIF($B$5:B1110,'案件カード'!$C$3),"")</f>
        <v/>
      </c>
      <c r="O1110" s="91">
        <f>IF(ISNUMBER(K1110),IF(B1110="",K1110,IF(AND(ISNUMBER(MATCH(B1110,'案件'!$A$6:$A$105,0)),OR(D1110="材料費",D1110="労務費",D1110="外注費",D1110="経費")),0,K1110)),0)</f>
        <v/>
      </c>
    </row>
    <row r="1111" ht="16" customHeight="1">
      <c r="A1111" s="35" t="n"/>
      <c r="B1111" s="36" t="n"/>
      <c r="C1111" s="37">
        <f>IF(B1111="","",IFERROR(INDEX('案件'!$B$6:$B$105,MATCH(B1111,'案件'!$A$6:$A$105,0))&amp;"","（案件シートに無い番号）"))</f>
        <v/>
      </c>
      <c r="D1111" s="36" t="n"/>
      <c r="E1111" s="38" t="n"/>
      <c r="F1111" s="39" t="n"/>
      <c r="G1111" s="36" t="n"/>
      <c r="H1111" s="40" t="n"/>
      <c r="I1111" s="40" t="n"/>
      <c r="J1111" s="41">
        <f>IF(ISNUMBER(H1111),H1111,IF(AND(D1111="労務費",TRIM(E1111)&lt;&gt;""),IFERROR(INDEX('設定'!$G$12:$G$31,MATCH(TRIM(E1111),'設定'!$J$12:$J$31,0)),""),""))</f>
        <v/>
      </c>
      <c r="K1111" s="30">
        <f>IF(AND(ISNUMBER(F1111),ISNUMBER(J1111)),ROUND(F1111*J1111,0),IF(ISNUMBER(I1111),I1111,""))</f>
        <v/>
      </c>
      <c r="L1111" s="33" t="n"/>
      <c r="M1111" s="34">
        <f>IF(COUNTA(A1111:B1111,D1111:I1111,L1111)=0,"",IF(B1111="","案件番号がありません",IF(ISNA(MATCH(B1111,'案件'!$A$6:$A$105,0)),"案件シートに無い番号です",IF(NOT(OR(D1111="材料費",D1111="労務費",D1111="外注費",D1111="経費")),"費目を4つから選んでください",IF(K1111="",IF(AND(ISNUMBER(F1111),NOT(ISNUMBER(J1111))),IF(D1111="労務費","単価がありません（設定の作業者名と同じ書き方に）","単価がありません"),IF(AND(ISNUMBER(J1111),NOT(ISNUMBER(F1111))),"数量がありません","金額がありません")),IF(NOT(ISNUMBER(A1111)),"日付がありません（月別集計に入りません）",IF(AND(ISNUMBER(F1111),ISNUMBER(J1111),ISNUMBER(I1111)),"数量×単価を使いました（金額の欄は使っていません）","")))))))</f>
        <v/>
      </c>
      <c r="N1111" s="91">
        <f>IF(AND(B1111&lt;&gt;"",B1111='案件カード'!$C$3),COUNTIF($B$5:B1111,'案件カード'!$C$3),"")</f>
        <v/>
      </c>
      <c r="O1111" s="91">
        <f>IF(ISNUMBER(K1111),IF(B1111="",K1111,IF(AND(ISNUMBER(MATCH(B1111,'案件'!$A$6:$A$105,0)),OR(D1111="材料費",D1111="労務費",D1111="外注費",D1111="経費")),0,K1111)),0)</f>
        <v/>
      </c>
    </row>
    <row r="1112" ht="16" customHeight="1">
      <c r="A1112" s="35" t="n"/>
      <c r="B1112" s="36" t="n"/>
      <c r="C1112" s="37">
        <f>IF(B1112="","",IFERROR(INDEX('案件'!$B$6:$B$105,MATCH(B1112,'案件'!$A$6:$A$105,0))&amp;"","（案件シートに無い番号）"))</f>
        <v/>
      </c>
      <c r="D1112" s="36" t="n"/>
      <c r="E1112" s="38" t="n"/>
      <c r="F1112" s="39" t="n"/>
      <c r="G1112" s="36" t="n"/>
      <c r="H1112" s="40" t="n"/>
      <c r="I1112" s="40" t="n"/>
      <c r="J1112" s="41">
        <f>IF(ISNUMBER(H1112),H1112,IF(AND(D1112="労務費",TRIM(E1112)&lt;&gt;""),IFERROR(INDEX('設定'!$G$12:$G$31,MATCH(TRIM(E1112),'設定'!$J$12:$J$31,0)),""),""))</f>
        <v/>
      </c>
      <c r="K1112" s="30">
        <f>IF(AND(ISNUMBER(F1112),ISNUMBER(J1112)),ROUND(F1112*J1112,0),IF(ISNUMBER(I1112),I1112,""))</f>
        <v/>
      </c>
      <c r="L1112" s="33" t="n"/>
      <c r="M1112" s="34">
        <f>IF(COUNTA(A1112:B1112,D1112:I1112,L1112)=0,"",IF(B1112="","案件番号がありません",IF(ISNA(MATCH(B1112,'案件'!$A$6:$A$105,0)),"案件シートに無い番号です",IF(NOT(OR(D1112="材料費",D1112="労務費",D1112="外注費",D1112="経費")),"費目を4つから選んでください",IF(K1112="",IF(AND(ISNUMBER(F1112),NOT(ISNUMBER(J1112))),IF(D1112="労務費","単価がありません（設定の作業者名と同じ書き方に）","単価がありません"),IF(AND(ISNUMBER(J1112),NOT(ISNUMBER(F1112))),"数量がありません","金額がありません")),IF(NOT(ISNUMBER(A1112)),"日付がありません（月別集計に入りません）",IF(AND(ISNUMBER(F1112),ISNUMBER(J1112),ISNUMBER(I1112)),"数量×単価を使いました（金額の欄は使っていません）","")))))))</f>
        <v/>
      </c>
      <c r="N1112" s="91">
        <f>IF(AND(B1112&lt;&gt;"",B1112='案件カード'!$C$3),COUNTIF($B$5:B1112,'案件カード'!$C$3),"")</f>
        <v/>
      </c>
      <c r="O1112" s="91">
        <f>IF(ISNUMBER(K1112),IF(B1112="",K1112,IF(AND(ISNUMBER(MATCH(B1112,'案件'!$A$6:$A$105,0)),OR(D1112="材料費",D1112="労務費",D1112="外注費",D1112="経費")),0,K1112)),0)</f>
        <v/>
      </c>
    </row>
    <row r="1113" ht="16" customHeight="1">
      <c r="A1113" s="35" t="n"/>
      <c r="B1113" s="36" t="n"/>
      <c r="C1113" s="37">
        <f>IF(B1113="","",IFERROR(INDEX('案件'!$B$6:$B$105,MATCH(B1113,'案件'!$A$6:$A$105,0))&amp;"","（案件シートに無い番号）"))</f>
        <v/>
      </c>
      <c r="D1113" s="36" t="n"/>
      <c r="E1113" s="38" t="n"/>
      <c r="F1113" s="39" t="n"/>
      <c r="G1113" s="36" t="n"/>
      <c r="H1113" s="40" t="n"/>
      <c r="I1113" s="40" t="n"/>
      <c r="J1113" s="41">
        <f>IF(ISNUMBER(H1113),H1113,IF(AND(D1113="労務費",TRIM(E1113)&lt;&gt;""),IFERROR(INDEX('設定'!$G$12:$G$31,MATCH(TRIM(E1113),'設定'!$J$12:$J$31,0)),""),""))</f>
        <v/>
      </c>
      <c r="K1113" s="30">
        <f>IF(AND(ISNUMBER(F1113),ISNUMBER(J1113)),ROUND(F1113*J1113,0),IF(ISNUMBER(I1113),I1113,""))</f>
        <v/>
      </c>
      <c r="L1113" s="33" t="n"/>
      <c r="M1113" s="34">
        <f>IF(COUNTA(A1113:B1113,D1113:I1113,L1113)=0,"",IF(B1113="","案件番号がありません",IF(ISNA(MATCH(B1113,'案件'!$A$6:$A$105,0)),"案件シートに無い番号です",IF(NOT(OR(D1113="材料費",D1113="労務費",D1113="外注費",D1113="経費")),"費目を4つから選んでください",IF(K1113="",IF(AND(ISNUMBER(F1113),NOT(ISNUMBER(J1113))),IF(D1113="労務費","単価がありません（設定の作業者名と同じ書き方に）","単価がありません"),IF(AND(ISNUMBER(J1113),NOT(ISNUMBER(F1113))),"数量がありません","金額がありません")),IF(NOT(ISNUMBER(A1113)),"日付がありません（月別集計に入りません）",IF(AND(ISNUMBER(F1113),ISNUMBER(J1113),ISNUMBER(I1113)),"数量×単価を使いました（金額の欄は使っていません）","")))))))</f>
        <v/>
      </c>
      <c r="N1113" s="91">
        <f>IF(AND(B1113&lt;&gt;"",B1113='案件カード'!$C$3),COUNTIF($B$5:B1113,'案件カード'!$C$3),"")</f>
        <v/>
      </c>
      <c r="O1113" s="91">
        <f>IF(ISNUMBER(K1113),IF(B1113="",K1113,IF(AND(ISNUMBER(MATCH(B1113,'案件'!$A$6:$A$105,0)),OR(D1113="材料費",D1113="労務費",D1113="外注費",D1113="経費")),0,K1113)),0)</f>
        <v/>
      </c>
    </row>
    <row r="1114" ht="16" customHeight="1">
      <c r="A1114" s="35" t="n"/>
      <c r="B1114" s="36" t="n"/>
      <c r="C1114" s="37">
        <f>IF(B1114="","",IFERROR(INDEX('案件'!$B$6:$B$105,MATCH(B1114,'案件'!$A$6:$A$105,0))&amp;"","（案件シートに無い番号）"))</f>
        <v/>
      </c>
      <c r="D1114" s="36" t="n"/>
      <c r="E1114" s="38" t="n"/>
      <c r="F1114" s="39" t="n"/>
      <c r="G1114" s="36" t="n"/>
      <c r="H1114" s="40" t="n"/>
      <c r="I1114" s="40" t="n"/>
      <c r="J1114" s="41">
        <f>IF(ISNUMBER(H1114),H1114,IF(AND(D1114="労務費",TRIM(E1114)&lt;&gt;""),IFERROR(INDEX('設定'!$G$12:$G$31,MATCH(TRIM(E1114),'設定'!$J$12:$J$31,0)),""),""))</f>
        <v/>
      </c>
      <c r="K1114" s="30">
        <f>IF(AND(ISNUMBER(F1114),ISNUMBER(J1114)),ROUND(F1114*J1114,0),IF(ISNUMBER(I1114),I1114,""))</f>
        <v/>
      </c>
      <c r="L1114" s="33" t="n"/>
      <c r="M1114" s="34">
        <f>IF(COUNTA(A1114:B1114,D1114:I1114,L1114)=0,"",IF(B1114="","案件番号がありません",IF(ISNA(MATCH(B1114,'案件'!$A$6:$A$105,0)),"案件シートに無い番号です",IF(NOT(OR(D1114="材料費",D1114="労務費",D1114="外注費",D1114="経費")),"費目を4つから選んでください",IF(K1114="",IF(AND(ISNUMBER(F1114),NOT(ISNUMBER(J1114))),IF(D1114="労務費","単価がありません（設定の作業者名と同じ書き方に）","単価がありません"),IF(AND(ISNUMBER(J1114),NOT(ISNUMBER(F1114))),"数量がありません","金額がありません")),IF(NOT(ISNUMBER(A1114)),"日付がありません（月別集計に入りません）",IF(AND(ISNUMBER(F1114),ISNUMBER(J1114),ISNUMBER(I1114)),"数量×単価を使いました（金額の欄は使っていません）","")))))))</f>
        <v/>
      </c>
      <c r="N1114" s="91">
        <f>IF(AND(B1114&lt;&gt;"",B1114='案件カード'!$C$3),COUNTIF($B$5:B1114,'案件カード'!$C$3),"")</f>
        <v/>
      </c>
      <c r="O1114" s="91">
        <f>IF(ISNUMBER(K1114),IF(B1114="",K1114,IF(AND(ISNUMBER(MATCH(B1114,'案件'!$A$6:$A$105,0)),OR(D1114="材料費",D1114="労務費",D1114="外注費",D1114="経費")),0,K1114)),0)</f>
        <v/>
      </c>
    </row>
    <row r="1115" ht="16" customHeight="1">
      <c r="A1115" s="35" t="n"/>
      <c r="B1115" s="36" t="n"/>
      <c r="C1115" s="37">
        <f>IF(B1115="","",IFERROR(INDEX('案件'!$B$6:$B$105,MATCH(B1115,'案件'!$A$6:$A$105,0))&amp;"","（案件シートに無い番号）"))</f>
        <v/>
      </c>
      <c r="D1115" s="36" t="n"/>
      <c r="E1115" s="38" t="n"/>
      <c r="F1115" s="39" t="n"/>
      <c r="G1115" s="36" t="n"/>
      <c r="H1115" s="40" t="n"/>
      <c r="I1115" s="40" t="n"/>
      <c r="J1115" s="41">
        <f>IF(ISNUMBER(H1115),H1115,IF(AND(D1115="労務費",TRIM(E1115)&lt;&gt;""),IFERROR(INDEX('設定'!$G$12:$G$31,MATCH(TRIM(E1115),'設定'!$J$12:$J$31,0)),""),""))</f>
        <v/>
      </c>
      <c r="K1115" s="30">
        <f>IF(AND(ISNUMBER(F1115),ISNUMBER(J1115)),ROUND(F1115*J1115,0),IF(ISNUMBER(I1115),I1115,""))</f>
        <v/>
      </c>
      <c r="L1115" s="33" t="n"/>
      <c r="M1115" s="34">
        <f>IF(COUNTA(A1115:B1115,D1115:I1115,L1115)=0,"",IF(B1115="","案件番号がありません",IF(ISNA(MATCH(B1115,'案件'!$A$6:$A$105,0)),"案件シートに無い番号です",IF(NOT(OR(D1115="材料費",D1115="労務費",D1115="外注費",D1115="経費")),"費目を4つから選んでください",IF(K1115="",IF(AND(ISNUMBER(F1115),NOT(ISNUMBER(J1115))),IF(D1115="労務費","単価がありません（設定の作業者名と同じ書き方に）","単価がありません"),IF(AND(ISNUMBER(J1115),NOT(ISNUMBER(F1115))),"数量がありません","金額がありません")),IF(NOT(ISNUMBER(A1115)),"日付がありません（月別集計に入りません）",IF(AND(ISNUMBER(F1115),ISNUMBER(J1115),ISNUMBER(I1115)),"数量×単価を使いました（金額の欄は使っていません）","")))))))</f>
        <v/>
      </c>
      <c r="N1115" s="91">
        <f>IF(AND(B1115&lt;&gt;"",B1115='案件カード'!$C$3),COUNTIF($B$5:B1115,'案件カード'!$C$3),"")</f>
        <v/>
      </c>
      <c r="O1115" s="91">
        <f>IF(ISNUMBER(K1115),IF(B1115="",K1115,IF(AND(ISNUMBER(MATCH(B1115,'案件'!$A$6:$A$105,0)),OR(D1115="材料費",D1115="労務費",D1115="外注費",D1115="経費")),0,K1115)),0)</f>
        <v/>
      </c>
    </row>
    <row r="1116" ht="16" customHeight="1">
      <c r="A1116" s="35" t="n"/>
      <c r="B1116" s="36" t="n"/>
      <c r="C1116" s="37">
        <f>IF(B1116="","",IFERROR(INDEX('案件'!$B$6:$B$105,MATCH(B1116,'案件'!$A$6:$A$105,0))&amp;"","（案件シートに無い番号）"))</f>
        <v/>
      </c>
      <c r="D1116" s="36" t="n"/>
      <c r="E1116" s="38" t="n"/>
      <c r="F1116" s="39" t="n"/>
      <c r="G1116" s="36" t="n"/>
      <c r="H1116" s="40" t="n"/>
      <c r="I1116" s="40" t="n"/>
      <c r="J1116" s="41">
        <f>IF(ISNUMBER(H1116),H1116,IF(AND(D1116="労務費",TRIM(E1116)&lt;&gt;""),IFERROR(INDEX('設定'!$G$12:$G$31,MATCH(TRIM(E1116),'設定'!$J$12:$J$31,0)),""),""))</f>
        <v/>
      </c>
      <c r="K1116" s="30">
        <f>IF(AND(ISNUMBER(F1116),ISNUMBER(J1116)),ROUND(F1116*J1116,0),IF(ISNUMBER(I1116),I1116,""))</f>
        <v/>
      </c>
      <c r="L1116" s="33" t="n"/>
      <c r="M1116" s="34">
        <f>IF(COUNTA(A1116:B1116,D1116:I1116,L1116)=0,"",IF(B1116="","案件番号がありません",IF(ISNA(MATCH(B1116,'案件'!$A$6:$A$105,0)),"案件シートに無い番号です",IF(NOT(OR(D1116="材料費",D1116="労務費",D1116="外注費",D1116="経費")),"費目を4つから選んでください",IF(K1116="",IF(AND(ISNUMBER(F1116),NOT(ISNUMBER(J1116))),IF(D1116="労務費","単価がありません（設定の作業者名と同じ書き方に）","単価がありません"),IF(AND(ISNUMBER(J1116),NOT(ISNUMBER(F1116))),"数量がありません","金額がありません")),IF(NOT(ISNUMBER(A1116)),"日付がありません（月別集計に入りません）",IF(AND(ISNUMBER(F1116),ISNUMBER(J1116),ISNUMBER(I1116)),"数量×単価を使いました（金額の欄は使っていません）","")))))))</f>
        <v/>
      </c>
      <c r="N1116" s="91">
        <f>IF(AND(B1116&lt;&gt;"",B1116='案件カード'!$C$3),COUNTIF($B$5:B1116,'案件カード'!$C$3),"")</f>
        <v/>
      </c>
      <c r="O1116" s="91">
        <f>IF(ISNUMBER(K1116),IF(B1116="",K1116,IF(AND(ISNUMBER(MATCH(B1116,'案件'!$A$6:$A$105,0)),OR(D1116="材料費",D1116="労務費",D1116="外注費",D1116="経費")),0,K1116)),0)</f>
        <v/>
      </c>
    </row>
    <row r="1117" ht="16" customHeight="1">
      <c r="A1117" s="35" t="n"/>
      <c r="B1117" s="36" t="n"/>
      <c r="C1117" s="37">
        <f>IF(B1117="","",IFERROR(INDEX('案件'!$B$6:$B$105,MATCH(B1117,'案件'!$A$6:$A$105,0))&amp;"","（案件シートに無い番号）"))</f>
        <v/>
      </c>
      <c r="D1117" s="36" t="n"/>
      <c r="E1117" s="38" t="n"/>
      <c r="F1117" s="39" t="n"/>
      <c r="G1117" s="36" t="n"/>
      <c r="H1117" s="40" t="n"/>
      <c r="I1117" s="40" t="n"/>
      <c r="J1117" s="41">
        <f>IF(ISNUMBER(H1117),H1117,IF(AND(D1117="労務費",TRIM(E1117)&lt;&gt;""),IFERROR(INDEX('設定'!$G$12:$G$31,MATCH(TRIM(E1117),'設定'!$J$12:$J$31,0)),""),""))</f>
        <v/>
      </c>
      <c r="K1117" s="30">
        <f>IF(AND(ISNUMBER(F1117),ISNUMBER(J1117)),ROUND(F1117*J1117,0),IF(ISNUMBER(I1117),I1117,""))</f>
        <v/>
      </c>
      <c r="L1117" s="33" t="n"/>
      <c r="M1117" s="34">
        <f>IF(COUNTA(A1117:B1117,D1117:I1117,L1117)=0,"",IF(B1117="","案件番号がありません",IF(ISNA(MATCH(B1117,'案件'!$A$6:$A$105,0)),"案件シートに無い番号です",IF(NOT(OR(D1117="材料費",D1117="労務費",D1117="外注費",D1117="経費")),"費目を4つから選んでください",IF(K1117="",IF(AND(ISNUMBER(F1117),NOT(ISNUMBER(J1117))),IF(D1117="労務費","単価がありません（設定の作業者名と同じ書き方に）","単価がありません"),IF(AND(ISNUMBER(J1117),NOT(ISNUMBER(F1117))),"数量がありません","金額がありません")),IF(NOT(ISNUMBER(A1117)),"日付がありません（月別集計に入りません）",IF(AND(ISNUMBER(F1117),ISNUMBER(J1117),ISNUMBER(I1117)),"数量×単価を使いました（金額の欄は使っていません）","")))))))</f>
        <v/>
      </c>
      <c r="N1117" s="91">
        <f>IF(AND(B1117&lt;&gt;"",B1117='案件カード'!$C$3),COUNTIF($B$5:B1117,'案件カード'!$C$3),"")</f>
        <v/>
      </c>
      <c r="O1117" s="91">
        <f>IF(ISNUMBER(K1117),IF(B1117="",K1117,IF(AND(ISNUMBER(MATCH(B1117,'案件'!$A$6:$A$105,0)),OR(D1117="材料費",D1117="労務費",D1117="外注費",D1117="経費")),0,K1117)),0)</f>
        <v/>
      </c>
    </row>
    <row r="1118" ht="16" customHeight="1">
      <c r="A1118" s="35" t="n"/>
      <c r="B1118" s="36" t="n"/>
      <c r="C1118" s="37">
        <f>IF(B1118="","",IFERROR(INDEX('案件'!$B$6:$B$105,MATCH(B1118,'案件'!$A$6:$A$105,0))&amp;"","（案件シートに無い番号）"))</f>
        <v/>
      </c>
      <c r="D1118" s="36" t="n"/>
      <c r="E1118" s="38" t="n"/>
      <c r="F1118" s="39" t="n"/>
      <c r="G1118" s="36" t="n"/>
      <c r="H1118" s="40" t="n"/>
      <c r="I1118" s="40" t="n"/>
      <c r="J1118" s="41">
        <f>IF(ISNUMBER(H1118),H1118,IF(AND(D1118="労務費",TRIM(E1118)&lt;&gt;""),IFERROR(INDEX('設定'!$G$12:$G$31,MATCH(TRIM(E1118),'設定'!$J$12:$J$31,0)),""),""))</f>
        <v/>
      </c>
      <c r="K1118" s="30">
        <f>IF(AND(ISNUMBER(F1118),ISNUMBER(J1118)),ROUND(F1118*J1118,0),IF(ISNUMBER(I1118),I1118,""))</f>
        <v/>
      </c>
      <c r="L1118" s="33" t="n"/>
      <c r="M1118" s="34">
        <f>IF(COUNTA(A1118:B1118,D1118:I1118,L1118)=0,"",IF(B1118="","案件番号がありません",IF(ISNA(MATCH(B1118,'案件'!$A$6:$A$105,0)),"案件シートに無い番号です",IF(NOT(OR(D1118="材料費",D1118="労務費",D1118="外注費",D1118="経費")),"費目を4つから選んでください",IF(K1118="",IF(AND(ISNUMBER(F1118),NOT(ISNUMBER(J1118))),IF(D1118="労務費","単価がありません（設定の作業者名と同じ書き方に）","単価がありません"),IF(AND(ISNUMBER(J1118),NOT(ISNUMBER(F1118))),"数量がありません","金額がありません")),IF(NOT(ISNUMBER(A1118)),"日付がありません（月別集計に入りません）",IF(AND(ISNUMBER(F1118),ISNUMBER(J1118),ISNUMBER(I1118)),"数量×単価を使いました（金額の欄は使っていません）","")))))))</f>
        <v/>
      </c>
      <c r="N1118" s="91">
        <f>IF(AND(B1118&lt;&gt;"",B1118='案件カード'!$C$3),COUNTIF($B$5:B1118,'案件カード'!$C$3),"")</f>
        <v/>
      </c>
      <c r="O1118" s="91">
        <f>IF(ISNUMBER(K1118),IF(B1118="",K1118,IF(AND(ISNUMBER(MATCH(B1118,'案件'!$A$6:$A$105,0)),OR(D1118="材料費",D1118="労務費",D1118="外注費",D1118="経費")),0,K1118)),0)</f>
        <v/>
      </c>
    </row>
    <row r="1119" ht="16" customHeight="1">
      <c r="A1119" s="35" t="n"/>
      <c r="B1119" s="36" t="n"/>
      <c r="C1119" s="37">
        <f>IF(B1119="","",IFERROR(INDEX('案件'!$B$6:$B$105,MATCH(B1119,'案件'!$A$6:$A$105,0))&amp;"","（案件シートに無い番号）"))</f>
        <v/>
      </c>
      <c r="D1119" s="36" t="n"/>
      <c r="E1119" s="38" t="n"/>
      <c r="F1119" s="39" t="n"/>
      <c r="G1119" s="36" t="n"/>
      <c r="H1119" s="40" t="n"/>
      <c r="I1119" s="40" t="n"/>
      <c r="J1119" s="41">
        <f>IF(ISNUMBER(H1119),H1119,IF(AND(D1119="労務費",TRIM(E1119)&lt;&gt;""),IFERROR(INDEX('設定'!$G$12:$G$31,MATCH(TRIM(E1119),'設定'!$J$12:$J$31,0)),""),""))</f>
        <v/>
      </c>
      <c r="K1119" s="30">
        <f>IF(AND(ISNUMBER(F1119),ISNUMBER(J1119)),ROUND(F1119*J1119,0),IF(ISNUMBER(I1119),I1119,""))</f>
        <v/>
      </c>
      <c r="L1119" s="33" t="n"/>
      <c r="M1119" s="34">
        <f>IF(COUNTA(A1119:B1119,D1119:I1119,L1119)=0,"",IF(B1119="","案件番号がありません",IF(ISNA(MATCH(B1119,'案件'!$A$6:$A$105,0)),"案件シートに無い番号です",IF(NOT(OR(D1119="材料費",D1119="労務費",D1119="外注費",D1119="経費")),"費目を4つから選んでください",IF(K1119="",IF(AND(ISNUMBER(F1119),NOT(ISNUMBER(J1119))),IF(D1119="労務費","単価がありません（設定の作業者名と同じ書き方に）","単価がありません"),IF(AND(ISNUMBER(J1119),NOT(ISNUMBER(F1119))),"数量がありません","金額がありません")),IF(NOT(ISNUMBER(A1119)),"日付がありません（月別集計に入りません）",IF(AND(ISNUMBER(F1119),ISNUMBER(J1119),ISNUMBER(I1119)),"数量×単価を使いました（金額の欄は使っていません）","")))))))</f>
        <v/>
      </c>
      <c r="N1119" s="91">
        <f>IF(AND(B1119&lt;&gt;"",B1119='案件カード'!$C$3),COUNTIF($B$5:B1119,'案件カード'!$C$3),"")</f>
        <v/>
      </c>
      <c r="O1119" s="91">
        <f>IF(ISNUMBER(K1119),IF(B1119="",K1119,IF(AND(ISNUMBER(MATCH(B1119,'案件'!$A$6:$A$105,0)),OR(D1119="材料費",D1119="労務費",D1119="外注費",D1119="経費")),0,K1119)),0)</f>
        <v/>
      </c>
    </row>
    <row r="1120" ht="16" customHeight="1">
      <c r="A1120" s="35" t="n"/>
      <c r="B1120" s="36" t="n"/>
      <c r="C1120" s="37">
        <f>IF(B1120="","",IFERROR(INDEX('案件'!$B$6:$B$105,MATCH(B1120,'案件'!$A$6:$A$105,0))&amp;"","（案件シートに無い番号）"))</f>
        <v/>
      </c>
      <c r="D1120" s="36" t="n"/>
      <c r="E1120" s="38" t="n"/>
      <c r="F1120" s="39" t="n"/>
      <c r="G1120" s="36" t="n"/>
      <c r="H1120" s="40" t="n"/>
      <c r="I1120" s="40" t="n"/>
      <c r="J1120" s="41">
        <f>IF(ISNUMBER(H1120),H1120,IF(AND(D1120="労務費",TRIM(E1120)&lt;&gt;""),IFERROR(INDEX('設定'!$G$12:$G$31,MATCH(TRIM(E1120),'設定'!$J$12:$J$31,0)),""),""))</f>
        <v/>
      </c>
      <c r="K1120" s="30">
        <f>IF(AND(ISNUMBER(F1120),ISNUMBER(J1120)),ROUND(F1120*J1120,0),IF(ISNUMBER(I1120),I1120,""))</f>
        <v/>
      </c>
      <c r="L1120" s="33" t="n"/>
      <c r="M1120" s="34">
        <f>IF(COUNTA(A1120:B1120,D1120:I1120,L1120)=0,"",IF(B1120="","案件番号がありません",IF(ISNA(MATCH(B1120,'案件'!$A$6:$A$105,0)),"案件シートに無い番号です",IF(NOT(OR(D1120="材料費",D1120="労務費",D1120="外注費",D1120="経費")),"費目を4つから選んでください",IF(K1120="",IF(AND(ISNUMBER(F1120),NOT(ISNUMBER(J1120))),IF(D1120="労務費","単価がありません（設定の作業者名と同じ書き方に）","単価がありません"),IF(AND(ISNUMBER(J1120),NOT(ISNUMBER(F1120))),"数量がありません","金額がありません")),IF(NOT(ISNUMBER(A1120)),"日付がありません（月別集計に入りません）",IF(AND(ISNUMBER(F1120),ISNUMBER(J1120),ISNUMBER(I1120)),"数量×単価を使いました（金額の欄は使っていません）","")))))))</f>
        <v/>
      </c>
      <c r="N1120" s="91">
        <f>IF(AND(B1120&lt;&gt;"",B1120='案件カード'!$C$3),COUNTIF($B$5:B1120,'案件カード'!$C$3),"")</f>
        <v/>
      </c>
      <c r="O1120" s="91">
        <f>IF(ISNUMBER(K1120),IF(B1120="",K1120,IF(AND(ISNUMBER(MATCH(B1120,'案件'!$A$6:$A$105,0)),OR(D1120="材料費",D1120="労務費",D1120="外注費",D1120="経費")),0,K1120)),0)</f>
        <v/>
      </c>
    </row>
    <row r="1121" ht="16" customHeight="1">
      <c r="A1121" s="35" t="n"/>
      <c r="B1121" s="36" t="n"/>
      <c r="C1121" s="37">
        <f>IF(B1121="","",IFERROR(INDEX('案件'!$B$6:$B$105,MATCH(B1121,'案件'!$A$6:$A$105,0))&amp;"","（案件シートに無い番号）"))</f>
        <v/>
      </c>
      <c r="D1121" s="36" t="n"/>
      <c r="E1121" s="38" t="n"/>
      <c r="F1121" s="39" t="n"/>
      <c r="G1121" s="36" t="n"/>
      <c r="H1121" s="40" t="n"/>
      <c r="I1121" s="40" t="n"/>
      <c r="J1121" s="41">
        <f>IF(ISNUMBER(H1121),H1121,IF(AND(D1121="労務費",TRIM(E1121)&lt;&gt;""),IFERROR(INDEX('設定'!$G$12:$G$31,MATCH(TRIM(E1121),'設定'!$J$12:$J$31,0)),""),""))</f>
        <v/>
      </c>
      <c r="K1121" s="30">
        <f>IF(AND(ISNUMBER(F1121),ISNUMBER(J1121)),ROUND(F1121*J1121,0),IF(ISNUMBER(I1121),I1121,""))</f>
        <v/>
      </c>
      <c r="L1121" s="33" t="n"/>
      <c r="M1121" s="34">
        <f>IF(COUNTA(A1121:B1121,D1121:I1121,L1121)=0,"",IF(B1121="","案件番号がありません",IF(ISNA(MATCH(B1121,'案件'!$A$6:$A$105,0)),"案件シートに無い番号です",IF(NOT(OR(D1121="材料費",D1121="労務費",D1121="外注費",D1121="経費")),"費目を4つから選んでください",IF(K1121="",IF(AND(ISNUMBER(F1121),NOT(ISNUMBER(J1121))),IF(D1121="労務費","単価がありません（設定の作業者名と同じ書き方に）","単価がありません"),IF(AND(ISNUMBER(J1121),NOT(ISNUMBER(F1121))),"数量がありません","金額がありません")),IF(NOT(ISNUMBER(A1121)),"日付がありません（月別集計に入りません）",IF(AND(ISNUMBER(F1121),ISNUMBER(J1121),ISNUMBER(I1121)),"数量×単価を使いました（金額の欄は使っていません）","")))))))</f>
        <v/>
      </c>
      <c r="N1121" s="91">
        <f>IF(AND(B1121&lt;&gt;"",B1121='案件カード'!$C$3),COUNTIF($B$5:B1121,'案件カード'!$C$3),"")</f>
        <v/>
      </c>
      <c r="O1121" s="91">
        <f>IF(ISNUMBER(K1121),IF(B1121="",K1121,IF(AND(ISNUMBER(MATCH(B1121,'案件'!$A$6:$A$105,0)),OR(D1121="材料費",D1121="労務費",D1121="外注費",D1121="経費")),0,K1121)),0)</f>
        <v/>
      </c>
    </row>
    <row r="1122" ht="16" customHeight="1">
      <c r="A1122" s="35" t="n"/>
      <c r="B1122" s="36" t="n"/>
      <c r="C1122" s="37">
        <f>IF(B1122="","",IFERROR(INDEX('案件'!$B$6:$B$105,MATCH(B1122,'案件'!$A$6:$A$105,0))&amp;"","（案件シートに無い番号）"))</f>
        <v/>
      </c>
      <c r="D1122" s="36" t="n"/>
      <c r="E1122" s="38" t="n"/>
      <c r="F1122" s="39" t="n"/>
      <c r="G1122" s="36" t="n"/>
      <c r="H1122" s="40" t="n"/>
      <c r="I1122" s="40" t="n"/>
      <c r="J1122" s="41">
        <f>IF(ISNUMBER(H1122),H1122,IF(AND(D1122="労務費",TRIM(E1122)&lt;&gt;""),IFERROR(INDEX('設定'!$G$12:$G$31,MATCH(TRIM(E1122),'設定'!$J$12:$J$31,0)),""),""))</f>
        <v/>
      </c>
      <c r="K1122" s="30">
        <f>IF(AND(ISNUMBER(F1122),ISNUMBER(J1122)),ROUND(F1122*J1122,0),IF(ISNUMBER(I1122),I1122,""))</f>
        <v/>
      </c>
      <c r="L1122" s="33" t="n"/>
      <c r="M1122" s="34">
        <f>IF(COUNTA(A1122:B1122,D1122:I1122,L1122)=0,"",IF(B1122="","案件番号がありません",IF(ISNA(MATCH(B1122,'案件'!$A$6:$A$105,0)),"案件シートに無い番号です",IF(NOT(OR(D1122="材料費",D1122="労務費",D1122="外注費",D1122="経費")),"費目を4つから選んでください",IF(K1122="",IF(AND(ISNUMBER(F1122),NOT(ISNUMBER(J1122))),IF(D1122="労務費","単価がありません（設定の作業者名と同じ書き方に）","単価がありません"),IF(AND(ISNUMBER(J1122),NOT(ISNUMBER(F1122))),"数量がありません","金額がありません")),IF(NOT(ISNUMBER(A1122)),"日付がありません（月別集計に入りません）",IF(AND(ISNUMBER(F1122),ISNUMBER(J1122),ISNUMBER(I1122)),"数量×単価を使いました（金額の欄は使っていません）","")))))))</f>
        <v/>
      </c>
      <c r="N1122" s="91">
        <f>IF(AND(B1122&lt;&gt;"",B1122='案件カード'!$C$3),COUNTIF($B$5:B1122,'案件カード'!$C$3),"")</f>
        <v/>
      </c>
      <c r="O1122" s="91">
        <f>IF(ISNUMBER(K1122),IF(B1122="",K1122,IF(AND(ISNUMBER(MATCH(B1122,'案件'!$A$6:$A$105,0)),OR(D1122="材料費",D1122="労務費",D1122="外注費",D1122="経費")),0,K1122)),0)</f>
        <v/>
      </c>
    </row>
    <row r="1123" ht="16" customHeight="1">
      <c r="A1123" s="35" t="n"/>
      <c r="B1123" s="36" t="n"/>
      <c r="C1123" s="37">
        <f>IF(B1123="","",IFERROR(INDEX('案件'!$B$6:$B$105,MATCH(B1123,'案件'!$A$6:$A$105,0))&amp;"","（案件シートに無い番号）"))</f>
        <v/>
      </c>
      <c r="D1123" s="36" t="n"/>
      <c r="E1123" s="38" t="n"/>
      <c r="F1123" s="39" t="n"/>
      <c r="G1123" s="36" t="n"/>
      <c r="H1123" s="40" t="n"/>
      <c r="I1123" s="40" t="n"/>
      <c r="J1123" s="41">
        <f>IF(ISNUMBER(H1123),H1123,IF(AND(D1123="労務費",TRIM(E1123)&lt;&gt;""),IFERROR(INDEX('設定'!$G$12:$G$31,MATCH(TRIM(E1123),'設定'!$J$12:$J$31,0)),""),""))</f>
        <v/>
      </c>
      <c r="K1123" s="30">
        <f>IF(AND(ISNUMBER(F1123),ISNUMBER(J1123)),ROUND(F1123*J1123,0),IF(ISNUMBER(I1123),I1123,""))</f>
        <v/>
      </c>
      <c r="L1123" s="33" t="n"/>
      <c r="M1123" s="34">
        <f>IF(COUNTA(A1123:B1123,D1123:I1123,L1123)=0,"",IF(B1123="","案件番号がありません",IF(ISNA(MATCH(B1123,'案件'!$A$6:$A$105,0)),"案件シートに無い番号です",IF(NOT(OR(D1123="材料費",D1123="労務費",D1123="外注費",D1123="経費")),"費目を4つから選んでください",IF(K1123="",IF(AND(ISNUMBER(F1123),NOT(ISNUMBER(J1123))),IF(D1123="労務費","単価がありません（設定の作業者名と同じ書き方に）","単価がありません"),IF(AND(ISNUMBER(J1123),NOT(ISNUMBER(F1123))),"数量がありません","金額がありません")),IF(NOT(ISNUMBER(A1123)),"日付がありません（月別集計に入りません）",IF(AND(ISNUMBER(F1123),ISNUMBER(J1123),ISNUMBER(I1123)),"数量×単価を使いました（金額の欄は使っていません）","")))))))</f>
        <v/>
      </c>
      <c r="N1123" s="91">
        <f>IF(AND(B1123&lt;&gt;"",B1123='案件カード'!$C$3),COUNTIF($B$5:B1123,'案件カード'!$C$3),"")</f>
        <v/>
      </c>
      <c r="O1123" s="91">
        <f>IF(ISNUMBER(K1123),IF(B1123="",K1123,IF(AND(ISNUMBER(MATCH(B1123,'案件'!$A$6:$A$105,0)),OR(D1123="材料費",D1123="労務費",D1123="外注費",D1123="経費")),0,K1123)),0)</f>
        <v/>
      </c>
    </row>
    <row r="1124" ht="16" customHeight="1">
      <c r="A1124" s="35" t="n"/>
      <c r="B1124" s="36" t="n"/>
      <c r="C1124" s="37">
        <f>IF(B1124="","",IFERROR(INDEX('案件'!$B$6:$B$105,MATCH(B1124,'案件'!$A$6:$A$105,0))&amp;"","（案件シートに無い番号）"))</f>
        <v/>
      </c>
      <c r="D1124" s="36" t="n"/>
      <c r="E1124" s="38" t="n"/>
      <c r="F1124" s="39" t="n"/>
      <c r="G1124" s="36" t="n"/>
      <c r="H1124" s="40" t="n"/>
      <c r="I1124" s="40" t="n"/>
      <c r="J1124" s="41">
        <f>IF(ISNUMBER(H1124),H1124,IF(AND(D1124="労務費",TRIM(E1124)&lt;&gt;""),IFERROR(INDEX('設定'!$G$12:$G$31,MATCH(TRIM(E1124),'設定'!$J$12:$J$31,0)),""),""))</f>
        <v/>
      </c>
      <c r="K1124" s="30">
        <f>IF(AND(ISNUMBER(F1124),ISNUMBER(J1124)),ROUND(F1124*J1124,0),IF(ISNUMBER(I1124),I1124,""))</f>
        <v/>
      </c>
      <c r="L1124" s="33" t="n"/>
      <c r="M1124" s="34">
        <f>IF(COUNTA(A1124:B1124,D1124:I1124,L1124)=0,"",IF(B1124="","案件番号がありません",IF(ISNA(MATCH(B1124,'案件'!$A$6:$A$105,0)),"案件シートに無い番号です",IF(NOT(OR(D1124="材料費",D1124="労務費",D1124="外注費",D1124="経費")),"費目を4つから選んでください",IF(K1124="",IF(AND(ISNUMBER(F1124),NOT(ISNUMBER(J1124))),IF(D1124="労務費","単価がありません（設定の作業者名と同じ書き方に）","単価がありません"),IF(AND(ISNUMBER(J1124),NOT(ISNUMBER(F1124))),"数量がありません","金額がありません")),IF(NOT(ISNUMBER(A1124)),"日付がありません（月別集計に入りません）",IF(AND(ISNUMBER(F1124),ISNUMBER(J1124),ISNUMBER(I1124)),"数量×単価を使いました（金額の欄は使っていません）","")))))))</f>
        <v/>
      </c>
      <c r="N1124" s="91">
        <f>IF(AND(B1124&lt;&gt;"",B1124='案件カード'!$C$3),COUNTIF($B$5:B1124,'案件カード'!$C$3),"")</f>
        <v/>
      </c>
      <c r="O1124" s="91">
        <f>IF(ISNUMBER(K1124),IF(B1124="",K1124,IF(AND(ISNUMBER(MATCH(B1124,'案件'!$A$6:$A$105,0)),OR(D1124="材料費",D1124="労務費",D1124="外注費",D1124="経費")),0,K1124)),0)</f>
        <v/>
      </c>
    </row>
    <row r="1125" ht="16" customHeight="1">
      <c r="A1125" s="35" t="n"/>
      <c r="B1125" s="36" t="n"/>
      <c r="C1125" s="37">
        <f>IF(B1125="","",IFERROR(INDEX('案件'!$B$6:$B$105,MATCH(B1125,'案件'!$A$6:$A$105,0))&amp;"","（案件シートに無い番号）"))</f>
        <v/>
      </c>
      <c r="D1125" s="36" t="n"/>
      <c r="E1125" s="38" t="n"/>
      <c r="F1125" s="39" t="n"/>
      <c r="G1125" s="36" t="n"/>
      <c r="H1125" s="40" t="n"/>
      <c r="I1125" s="40" t="n"/>
      <c r="J1125" s="41">
        <f>IF(ISNUMBER(H1125),H1125,IF(AND(D1125="労務費",TRIM(E1125)&lt;&gt;""),IFERROR(INDEX('設定'!$G$12:$G$31,MATCH(TRIM(E1125),'設定'!$J$12:$J$31,0)),""),""))</f>
        <v/>
      </c>
      <c r="K1125" s="30">
        <f>IF(AND(ISNUMBER(F1125),ISNUMBER(J1125)),ROUND(F1125*J1125,0),IF(ISNUMBER(I1125),I1125,""))</f>
        <v/>
      </c>
      <c r="L1125" s="33" t="n"/>
      <c r="M1125" s="34">
        <f>IF(COUNTA(A1125:B1125,D1125:I1125,L1125)=0,"",IF(B1125="","案件番号がありません",IF(ISNA(MATCH(B1125,'案件'!$A$6:$A$105,0)),"案件シートに無い番号です",IF(NOT(OR(D1125="材料費",D1125="労務費",D1125="外注費",D1125="経費")),"費目を4つから選んでください",IF(K1125="",IF(AND(ISNUMBER(F1125),NOT(ISNUMBER(J1125))),IF(D1125="労務費","単価がありません（設定の作業者名と同じ書き方に）","単価がありません"),IF(AND(ISNUMBER(J1125),NOT(ISNUMBER(F1125))),"数量がありません","金額がありません")),IF(NOT(ISNUMBER(A1125)),"日付がありません（月別集計に入りません）",IF(AND(ISNUMBER(F1125),ISNUMBER(J1125),ISNUMBER(I1125)),"数量×単価を使いました（金額の欄は使っていません）","")))))))</f>
        <v/>
      </c>
      <c r="N1125" s="91">
        <f>IF(AND(B1125&lt;&gt;"",B1125='案件カード'!$C$3),COUNTIF($B$5:B1125,'案件カード'!$C$3),"")</f>
        <v/>
      </c>
      <c r="O1125" s="91">
        <f>IF(ISNUMBER(K1125),IF(B1125="",K1125,IF(AND(ISNUMBER(MATCH(B1125,'案件'!$A$6:$A$105,0)),OR(D1125="材料費",D1125="労務費",D1125="外注費",D1125="経費")),0,K1125)),0)</f>
        <v/>
      </c>
    </row>
    <row r="1126" ht="16" customHeight="1">
      <c r="A1126" s="35" t="n"/>
      <c r="B1126" s="36" t="n"/>
      <c r="C1126" s="37">
        <f>IF(B1126="","",IFERROR(INDEX('案件'!$B$6:$B$105,MATCH(B1126,'案件'!$A$6:$A$105,0))&amp;"","（案件シートに無い番号）"))</f>
        <v/>
      </c>
      <c r="D1126" s="36" t="n"/>
      <c r="E1126" s="38" t="n"/>
      <c r="F1126" s="39" t="n"/>
      <c r="G1126" s="36" t="n"/>
      <c r="H1126" s="40" t="n"/>
      <c r="I1126" s="40" t="n"/>
      <c r="J1126" s="41">
        <f>IF(ISNUMBER(H1126),H1126,IF(AND(D1126="労務費",TRIM(E1126)&lt;&gt;""),IFERROR(INDEX('設定'!$G$12:$G$31,MATCH(TRIM(E1126),'設定'!$J$12:$J$31,0)),""),""))</f>
        <v/>
      </c>
      <c r="K1126" s="30">
        <f>IF(AND(ISNUMBER(F1126),ISNUMBER(J1126)),ROUND(F1126*J1126,0),IF(ISNUMBER(I1126),I1126,""))</f>
        <v/>
      </c>
      <c r="L1126" s="33" t="n"/>
      <c r="M1126" s="34">
        <f>IF(COUNTA(A1126:B1126,D1126:I1126,L1126)=0,"",IF(B1126="","案件番号がありません",IF(ISNA(MATCH(B1126,'案件'!$A$6:$A$105,0)),"案件シートに無い番号です",IF(NOT(OR(D1126="材料費",D1126="労務費",D1126="外注費",D1126="経費")),"費目を4つから選んでください",IF(K1126="",IF(AND(ISNUMBER(F1126),NOT(ISNUMBER(J1126))),IF(D1126="労務費","単価がありません（設定の作業者名と同じ書き方に）","単価がありません"),IF(AND(ISNUMBER(J1126),NOT(ISNUMBER(F1126))),"数量がありません","金額がありません")),IF(NOT(ISNUMBER(A1126)),"日付がありません（月別集計に入りません）",IF(AND(ISNUMBER(F1126),ISNUMBER(J1126),ISNUMBER(I1126)),"数量×単価を使いました（金額の欄は使っていません）","")))))))</f>
        <v/>
      </c>
      <c r="N1126" s="91">
        <f>IF(AND(B1126&lt;&gt;"",B1126='案件カード'!$C$3),COUNTIF($B$5:B1126,'案件カード'!$C$3),"")</f>
        <v/>
      </c>
      <c r="O1126" s="91">
        <f>IF(ISNUMBER(K1126),IF(B1126="",K1126,IF(AND(ISNUMBER(MATCH(B1126,'案件'!$A$6:$A$105,0)),OR(D1126="材料費",D1126="労務費",D1126="外注費",D1126="経費")),0,K1126)),0)</f>
        <v/>
      </c>
    </row>
    <row r="1127" ht="16" customHeight="1">
      <c r="A1127" s="35" t="n"/>
      <c r="B1127" s="36" t="n"/>
      <c r="C1127" s="37">
        <f>IF(B1127="","",IFERROR(INDEX('案件'!$B$6:$B$105,MATCH(B1127,'案件'!$A$6:$A$105,0))&amp;"","（案件シートに無い番号）"))</f>
        <v/>
      </c>
      <c r="D1127" s="36" t="n"/>
      <c r="E1127" s="38" t="n"/>
      <c r="F1127" s="39" t="n"/>
      <c r="G1127" s="36" t="n"/>
      <c r="H1127" s="40" t="n"/>
      <c r="I1127" s="40" t="n"/>
      <c r="J1127" s="41">
        <f>IF(ISNUMBER(H1127),H1127,IF(AND(D1127="労務費",TRIM(E1127)&lt;&gt;""),IFERROR(INDEX('設定'!$G$12:$G$31,MATCH(TRIM(E1127),'設定'!$J$12:$J$31,0)),""),""))</f>
        <v/>
      </c>
      <c r="K1127" s="30">
        <f>IF(AND(ISNUMBER(F1127),ISNUMBER(J1127)),ROUND(F1127*J1127,0),IF(ISNUMBER(I1127),I1127,""))</f>
        <v/>
      </c>
      <c r="L1127" s="33" t="n"/>
      <c r="M1127" s="34">
        <f>IF(COUNTA(A1127:B1127,D1127:I1127,L1127)=0,"",IF(B1127="","案件番号がありません",IF(ISNA(MATCH(B1127,'案件'!$A$6:$A$105,0)),"案件シートに無い番号です",IF(NOT(OR(D1127="材料費",D1127="労務費",D1127="外注費",D1127="経費")),"費目を4つから選んでください",IF(K1127="",IF(AND(ISNUMBER(F1127),NOT(ISNUMBER(J1127))),IF(D1127="労務費","単価がありません（設定の作業者名と同じ書き方に）","単価がありません"),IF(AND(ISNUMBER(J1127),NOT(ISNUMBER(F1127))),"数量がありません","金額がありません")),IF(NOT(ISNUMBER(A1127)),"日付がありません（月別集計に入りません）",IF(AND(ISNUMBER(F1127),ISNUMBER(J1127),ISNUMBER(I1127)),"数量×単価を使いました（金額の欄は使っていません）","")))))))</f>
        <v/>
      </c>
      <c r="N1127" s="91">
        <f>IF(AND(B1127&lt;&gt;"",B1127='案件カード'!$C$3),COUNTIF($B$5:B1127,'案件カード'!$C$3),"")</f>
        <v/>
      </c>
      <c r="O1127" s="91">
        <f>IF(ISNUMBER(K1127),IF(B1127="",K1127,IF(AND(ISNUMBER(MATCH(B1127,'案件'!$A$6:$A$105,0)),OR(D1127="材料費",D1127="労務費",D1127="外注費",D1127="経費")),0,K1127)),0)</f>
        <v/>
      </c>
    </row>
    <row r="1128" ht="16" customHeight="1">
      <c r="A1128" s="35" t="n"/>
      <c r="B1128" s="36" t="n"/>
      <c r="C1128" s="37">
        <f>IF(B1128="","",IFERROR(INDEX('案件'!$B$6:$B$105,MATCH(B1128,'案件'!$A$6:$A$105,0))&amp;"","（案件シートに無い番号）"))</f>
        <v/>
      </c>
      <c r="D1128" s="36" t="n"/>
      <c r="E1128" s="38" t="n"/>
      <c r="F1128" s="39" t="n"/>
      <c r="G1128" s="36" t="n"/>
      <c r="H1128" s="40" t="n"/>
      <c r="I1128" s="40" t="n"/>
      <c r="J1128" s="41">
        <f>IF(ISNUMBER(H1128),H1128,IF(AND(D1128="労務費",TRIM(E1128)&lt;&gt;""),IFERROR(INDEX('設定'!$G$12:$G$31,MATCH(TRIM(E1128),'設定'!$J$12:$J$31,0)),""),""))</f>
        <v/>
      </c>
      <c r="K1128" s="30">
        <f>IF(AND(ISNUMBER(F1128),ISNUMBER(J1128)),ROUND(F1128*J1128,0),IF(ISNUMBER(I1128),I1128,""))</f>
        <v/>
      </c>
      <c r="L1128" s="33" t="n"/>
      <c r="M1128" s="34">
        <f>IF(COUNTA(A1128:B1128,D1128:I1128,L1128)=0,"",IF(B1128="","案件番号がありません",IF(ISNA(MATCH(B1128,'案件'!$A$6:$A$105,0)),"案件シートに無い番号です",IF(NOT(OR(D1128="材料費",D1128="労務費",D1128="外注費",D1128="経費")),"費目を4つから選んでください",IF(K1128="",IF(AND(ISNUMBER(F1128),NOT(ISNUMBER(J1128))),IF(D1128="労務費","単価がありません（設定の作業者名と同じ書き方に）","単価がありません"),IF(AND(ISNUMBER(J1128),NOT(ISNUMBER(F1128))),"数量がありません","金額がありません")),IF(NOT(ISNUMBER(A1128)),"日付がありません（月別集計に入りません）",IF(AND(ISNUMBER(F1128),ISNUMBER(J1128),ISNUMBER(I1128)),"数量×単価を使いました（金額の欄は使っていません）","")))))))</f>
        <v/>
      </c>
      <c r="N1128" s="91">
        <f>IF(AND(B1128&lt;&gt;"",B1128='案件カード'!$C$3),COUNTIF($B$5:B1128,'案件カード'!$C$3),"")</f>
        <v/>
      </c>
      <c r="O1128" s="91">
        <f>IF(ISNUMBER(K1128),IF(B1128="",K1128,IF(AND(ISNUMBER(MATCH(B1128,'案件'!$A$6:$A$105,0)),OR(D1128="材料費",D1128="労務費",D1128="外注費",D1128="経費")),0,K1128)),0)</f>
        <v/>
      </c>
    </row>
    <row r="1129" ht="16" customHeight="1">
      <c r="A1129" s="35" t="n"/>
      <c r="B1129" s="36" t="n"/>
      <c r="C1129" s="37">
        <f>IF(B1129="","",IFERROR(INDEX('案件'!$B$6:$B$105,MATCH(B1129,'案件'!$A$6:$A$105,0))&amp;"","（案件シートに無い番号）"))</f>
        <v/>
      </c>
      <c r="D1129" s="36" t="n"/>
      <c r="E1129" s="38" t="n"/>
      <c r="F1129" s="39" t="n"/>
      <c r="G1129" s="36" t="n"/>
      <c r="H1129" s="40" t="n"/>
      <c r="I1129" s="40" t="n"/>
      <c r="J1129" s="41">
        <f>IF(ISNUMBER(H1129),H1129,IF(AND(D1129="労務費",TRIM(E1129)&lt;&gt;""),IFERROR(INDEX('設定'!$G$12:$G$31,MATCH(TRIM(E1129),'設定'!$J$12:$J$31,0)),""),""))</f>
        <v/>
      </c>
      <c r="K1129" s="30">
        <f>IF(AND(ISNUMBER(F1129),ISNUMBER(J1129)),ROUND(F1129*J1129,0),IF(ISNUMBER(I1129),I1129,""))</f>
        <v/>
      </c>
      <c r="L1129" s="33" t="n"/>
      <c r="M1129" s="34">
        <f>IF(COUNTA(A1129:B1129,D1129:I1129,L1129)=0,"",IF(B1129="","案件番号がありません",IF(ISNA(MATCH(B1129,'案件'!$A$6:$A$105,0)),"案件シートに無い番号です",IF(NOT(OR(D1129="材料費",D1129="労務費",D1129="外注費",D1129="経費")),"費目を4つから選んでください",IF(K1129="",IF(AND(ISNUMBER(F1129),NOT(ISNUMBER(J1129))),IF(D1129="労務費","単価がありません（設定の作業者名と同じ書き方に）","単価がありません"),IF(AND(ISNUMBER(J1129),NOT(ISNUMBER(F1129))),"数量がありません","金額がありません")),IF(NOT(ISNUMBER(A1129)),"日付がありません（月別集計に入りません）",IF(AND(ISNUMBER(F1129),ISNUMBER(J1129),ISNUMBER(I1129)),"数量×単価を使いました（金額の欄は使っていません）","")))))))</f>
        <v/>
      </c>
      <c r="N1129" s="91">
        <f>IF(AND(B1129&lt;&gt;"",B1129='案件カード'!$C$3),COUNTIF($B$5:B1129,'案件カード'!$C$3),"")</f>
        <v/>
      </c>
      <c r="O1129" s="91">
        <f>IF(ISNUMBER(K1129),IF(B1129="",K1129,IF(AND(ISNUMBER(MATCH(B1129,'案件'!$A$6:$A$105,0)),OR(D1129="材料費",D1129="労務費",D1129="外注費",D1129="経費")),0,K1129)),0)</f>
        <v/>
      </c>
    </row>
    <row r="1130" ht="16" customHeight="1">
      <c r="A1130" s="35" t="n"/>
      <c r="B1130" s="36" t="n"/>
      <c r="C1130" s="37">
        <f>IF(B1130="","",IFERROR(INDEX('案件'!$B$6:$B$105,MATCH(B1130,'案件'!$A$6:$A$105,0))&amp;"","（案件シートに無い番号）"))</f>
        <v/>
      </c>
      <c r="D1130" s="36" t="n"/>
      <c r="E1130" s="38" t="n"/>
      <c r="F1130" s="39" t="n"/>
      <c r="G1130" s="36" t="n"/>
      <c r="H1130" s="40" t="n"/>
      <c r="I1130" s="40" t="n"/>
      <c r="J1130" s="41">
        <f>IF(ISNUMBER(H1130),H1130,IF(AND(D1130="労務費",TRIM(E1130)&lt;&gt;""),IFERROR(INDEX('設定'!$G$12:$G$31,MATCH(TRIM(E1130),'設定'!$J$12:$J$31,0)),""),""))</f>
        <v/>
      </c>
      <c r="K1130" s="30">
        <f>IF(AND(ISNUMBER(F1130),ISNUMBER(J1130)),ROUND(F1130*J1130,0),IF(ISNUMBER(I1130),I1130,""))</f>
        <v/>
      </c>
      <c r="L1130" s="33" t="n"/>
      <c r="M1130" s="34">
        <f>IF(COUNTA(A1130:B1130,D1130:I1130,L1130)=0,"",IF(B1130="","案件番号がありません",IF(ISNA(MATCH(B1130,'案件'!$A$6:$A$105,0)),"案件シートに無い番号です",IF(NOT(OR(D1130="材料費",D1130="労務費",D1130="外注費",D1130="経費")),"費目を4つから選んでください",IF(K1130="",IF(AND(ISNUMBER(F1130),NOT(ISNUMBER(J1130))),IF(D1130="労務費","単価がありません（設定の作業者名と同じ書き方に）","単価がありません"),IF(AND(ISNUMBER(J1130),NOT(ISNUMBER(F1130))),"数量がありません","金額がありません")),IF(NOT(ISNUMBER(A1130)),"日付がありません（月別集計に入りません）",IF(AND(ISNUMBER(F1130),ISNUMBER(J1130),ISNUMBER(I1130)),"数量×単価を使いました（金額の欄は使っていません）","")))))))</f>
        <v/>
      </c>
      <c r="N1130" s="91">
        <f>IF(AND(B1130&lt;&gt;"",B1130='案件カード'!$C$3),COUNTIF($B$5:B1130,'案件カード'!$C$3),"")</f>
        <v/>
      </c>
      <c r="O1130" s="91">
        <f>IF(ISNUMBER(K1130),IF(B1130="",K1130,IF(AND(ISNUMBER(MATCH(B1130,'案件'!$A$6:$A$105,0)),OR(D1130="材料費",D1130="労務費",D1130="外注費",D1130="経費")),0,K1130)),0)</f>
        <v/>
      </c>
    </row>
    <row r="1131" ht="16" customHeight="1">
      <c r="A1131" s="35" t="n"/>
      <c r="B1131" s="36" t="n"/>
      <c r="C1131" s="37">
        <f>IF(B1131="","",IFERROR(INDEX('案件'!$B$6:$B$105,MATCH(B1131,'案件'!$A$6:$A$105,0))&amp;"","（案件シートに無い番号）"))</f>
        <v/>
      </c>
      <c r="D1131" s="36" t="n"/>
      <c r="E1131" s="38" t="n"/>
      <c r="F1131" s="39" t="n"/>
      <c r="G1131" s="36" t="n"/>
      <c r="H1131" s="40" t="n"/>
      <c r="I1131" s="40" t="n"/>
      <c r="J1131" s="41">
        <f>IF(ISNUMBER(H1131),H1131,IF(AND(D1131="労務費",TRIM(E1131)&lt;&gt;""),IFERROR(INDEX('設定'!$G$12:$G$31,MATCH(TRIM(E1131),'設定'!$J$12:$J$31,0)),""),""))</f>
        <v/>
      </c>
      <c r="K1131" s="30">
        <f>IF(AND(ISNUMBER(F1131),ISNUMBER(J1131)),ROUND(F1131*J1131,0),IF(ISNUMBER(I1131),I1131,""))</f>
        <v/>
      </c>
      <c r="L1131" s="33" t="n"/>
      <c r="M1131" s="34">
        <f>IF(COUNTA(A1131:B1131,D1131:I1131,L1131)=0,"",IF(B1131="","案件番号がありません",IF(ISNA(MATCH(B1131,'案件'!$A$6:$A$105,0)),"案件シートに無い番号です",IF(NOT(OR(D1131="材料費",D1131="労務費",D1131="外注費",D1131="経費")),"費目を4つから選んでください",IF(K1131="",IF(AND(ISNUMBER(F1131),NOT(ISNUMBER(J1131))),IF(D1131="労務費","単価がありません（設定の作業者名と同じ書き方に）","単価がありません"),IF(AND(ISNUMBER(J1131),NOT(ISNUMBER(F1131))),"数量がありません","金額がありません")),IF(NOT(ISNUMBER(A1131)),"日付がありません（月別集計に入りません）",IF(AND(ISNUMBER(F1131),ISNUMBER(J1131),ISNUMBER(I1131)),"数量×単価を使いました（金額の欄は使っていません）","")))))))</f>
        <v/>
      </c>
      <c r="N1131" s="91">
        <f>IF(AND(B1131&lt;&gt;"",B1131='案件カード'!$C$3),COUNTIF($B$5:B1131,'案件カード'!$C$3),"")</f>
        <v/>
      </c>
      <c r="O1131" s="91">
        <f>IF(ISNUMBER(K1131),IF(B1131="",K1131,IF(AND(ISNUMBER(MATCH(B1131,'案件'!$A$6:$A$105,0)),OR(D1131="材料費",D1131="労務費",D1131="外注費",D1131="経費")),0,K1131)),0)</f>
        <v/>
      </c>
    </row>
    <row r="1132" ht="16" customHeight="1">
      <c r="A1132" s="35" t="n"/>
      <c r="B1132" s="36" t="n"/>
      <c r="C1132" s="37">
        <f>IF(B1132="","",IFERROR(INDEX('案件'!$B$6:$B$105,MATCH(B1132,'案件'!$A$6:$A$105,0))&amp;"","（案件シートに無い番号）"))</f>
        <v/>
      </c>
      <c r="D1132" s="36" t="n"/>
      <c r="E1132" s="38" t="n"/>
      <c r="F1132" s="39" t="n"/>
      <c r="G1132" s="36" t="n"/>
      <c r="H1132" s="40" t="n"/>
      <c r="I1132" s="40" t="n"/>
      <c r="J1132" s="41">
        <f>IF(ISNUMBER(H1132),H1132,IF(AND(D1132="労務費",TRIM(E1132)&lt;&gt;""),IFERROR(INDEX('設定'!$G$12:$G$31,MATCH(TRIM(E1132),'設定'!$J$12:$J$31,0)),""),""))</f>
        <v/>
      </c>
      <c r="K1132" s="30">
        <f>IF(AND(ISNUMBER(F1132),ISNUMBER(J1132)),ROUND(F1132*J1132,0),IF(ISNUMBER(I1132),I1132,""))</f>
        <v/>
      </c>
      <c r="L1132" s="33" t="n"/>
      <c r="M1132" s="34">
        <f>IF(COUNTA(A1132:B1132,D1132:I1132,L1132)=0,"",IF(B1132="","案件番号がありません",IF(ISNA(MATCH(B1132,'案件'!$A$6:$A$105,0)),"案件シートに無い番号です",IF(NOT(OR(D1132="材料費",D1132="労務費",D1132="外注費",D1132="経費")),"費目を4つから選んでください",IF(K1132="",IF(AND(ISNUMBER(F1132),NOT(ISNUMBER(J1132))),IF(D1132="労務費","単価がありません（設定の作業者名と同じ書き方に）","単価がありません"),IF(AND(ISNUMBER(J1132),NOT(ISNUMBER(F1132))),"数量がありません","金額がありません")),IF(NOT(ISNUMBER(A1132)),"日付がありません（月別集計に入りません）",IF(AND(ISNUMBER(F1132),ISNUMBER(J1132),ISNUMBER(I1132)),"数量×単価を使いました（金額の欄は使っていません）","")))))))</f>
        <v/>
      </c>
      <c r="N1132" s="91">
        <f>IF(AND(B1132&lt;&gt;"",B1132='案件カード'!$C$3),COUNTIF($B$5:B1132,'案件カード'!$C$3),"")</f>
        <v/>
      </c>
      <c r="O1132" s="91">
        <f>IF(ISNUMBER(K1132),IF(B1132="",K1132,IF(AND(ISNUMBER(MATCH(B1132,'案件'!$A$6:$A$105,0)),OR(D1132="材料費",D1132="労務費",D1132="外注費",D1132="経費")),0,K1132)),0)</f>
        <v/>
      </c>
    </row>
    <row r="1133" ht="16" customHeight="1">
      <c r="A1133" s="35" t="n"/>
      <c r="B1133" s="36" t="n"/>
      <c r="C1133" s="37">
        <f>IF(B1133="","",IFERROR(INDEX('案件'!$B$6:$B$105,MATCH(B1133,'案件'!$A$6:$A$105,0))&amp;"","（案件シートに無い番号）"))</f>
        <v/>
      </c>
      <c r="D1133" s="36" t="n"/>
      <c r="E1133" s="38" t="n"/>
      <c r="F1133" s="39" t="n"/>
      <c r="G1133" s="36" t="n"/>
      <c r="H1133" s="40" t="n"/>
      <c r="I1133" s="40" t="n"/>
      <c r="J1133" s="41">
        <f>IF(ISNUMBER(H1133),H1133,IF(AND(D1133="労務費",TRIM(E1133)&lt;&gt;""),IFERROR(INDEX('設定'!$G$12:$G$31,MATCH(TRIM(E1133),'設定'!$J$12:$J$31,0)),""),""))</f>
        <v/>
      </c>
      <c r="K1133" s="30">
        <f>IF(AND(ISNUMBER(F1133),ISNUMBER(J1133)),ROUND(F1133*J1133,0),IF(ISNUMBER(I1133),I1133,""))</f>
        <v/>
      </c>
      <c r="L1133" s="33" t="n"/>
      <c r="M1133" s="34">
        <f>IF(COUNTA(A1133:B1133,D1133:I1133,L1133)=0,"",IF(B1133="","案件番号がありません",IF(ISNA(MATCH(B1133,'案件'!$A$6:$A$105,0)),"案件シートに無い番号です",IF(NOT(OR(D1133="材料費",D1133="労務費",D1133="外注費",D1133="経費")),"費目を4つから選んでください",IF(K1133="",IF(AND(ISNUMBER(F1133),NOT(ISNUMBER(J1133))),IF(D1133="労務費","単価がありません（設定の作業者名と同じ書き方に）","単価がありません"),IF(AND(ISNUMBER(J1133),NOT(ISNUMBER(F1133))),"数量がありません","金額がありません")),IF(NOT(ISNUMBER(A1133)),"日付がありません（月別集計に入りません）",IF(AND(ISNUMBER(F1133),ISNUMBER(J1133),ISNUMBER(I1133)),"数量×単価を使いました（金額の欄は使っていません）","")))))))</f>
        <v/>
      </c>
      <c r="N1133" s="91">
        <f>IF(AND(B1133&lt;&gt;"",B1133='案件カード'!$C$3),COUNTIF($B$5:B1133,'案件カード'!$C$3),"")</f>
        <v/>
      </c>
      <c r="O1133" s="91">
        <f>IF(ISNUMBER(K1133),IF(B1133="",K1133,IF(AND(ISNUMBER(MATCH(B1133,'案件'!$A$6:$A$105,0)),OR(D1133="材料費",D1133="労務費",D1133="外注費",D1133="経費")),0,K1133)),0)</f>
        <v/>
      </c>
    </row>
    <row r="1134" ht="16" customHeight="1">
      <c r="A1134" s="35" t="n"/>
      <c r="B1134" s="36" t="n"/>
      <c r="C1134" s="37">
        <f>IF(B1134="","",IFERROR(INDEX('案件'!$B$6:$B$105,MATCH(B1134,'案件'!$A$6:$A$105,0))&amp;"","（案件シートに無い番号）"))</f>
        <v/>
      </c>
      <c r="D1134" s="36" t="n"/>
      <c r="E1134" s="38" t="n"/>
      <c r="F1134" s="39" t="n"/>
      <c r="G1134" s="36" t="n"/>
      <c r="H1134" s="40" t="n"/>
      <c r="I1134" s="40" t="n"/>
      <c r="J1134" s="41">
        <f>IF(ISNUMBER(H1134),H1134,IF(AND(D1134="労務費",TRIM(E1134)&lt;&gt;""),IFERROR(INDEX('設定'!$G$12:$G$31,MATCH(TRIM(E1134),'設定'!$J$12:$J$31,0)),""),""))</f>
        <v/>
      </c>
      <c r="K1134" s="30">
        <f>IF(AND(ISNUMBER(F1134),ISNUMBER(J1134)),ROUND(F1134*J1134,0),IF(ISNUMBER(I1134),I1134,""))</f>
        <v/>
      </c>
      <c r="L1134" s="33" t="n"/>
      <c r="M1134" s="34">
        <f>IF(COUNTA(A1134:B1134,D1134:I1134,L1134)=0,"",IF(B1134="","案件番号がありません",IF(ISNA(MATCH(B1134,'案件'!$A$6:$A$105,0)),"案件シートに無い番号です",IF(NOT(OR(D1134="材料費",D1134="労務費",D1134="外注費",D1134="経費")),"費目を4つから選んでください",IF(K1134="",IF(AND(ISNUMBER(F1134),NOT(ISNUMBER(J1134))),IF(D1134="労務費","単価がありません（設定の作業者名と同じ書き方に）","単価がありません"),IF(AND(ISNUMBER(J1134),NOT(ISNUMBER(F1134))),"数量がありません","金額がありません")),IF(NOT(ISNUMBER(A1134)),"日付がありません（月別集計に入りません）",IF(AND(ISNUMBER(F1134),ISNUMBER(J1134),ISNUMBER(I1134)),"数量×単価を使いました（金額の欄は使っていません）","")))))))</f>
        <v/>
      </c>
      <c r="N1134" s="91">
        <f>IF(AND(B1134&lt;&gt;"",B1134='案件カード'!$C$3),COUNTIF($B$5:B1134,'案件カード'!$C$3),"")</f>
        <v/>
      </c>
      <c r="O1134" s="91">
        <f>IF(ISNUMBER(K1134),IF(B1134="",K1134,IF(AND(ISNUMBER(MATCH(B1134,'案件'!$A$6:$A$105,0)),OR(D1134="材料費",D1134="労務費",D1134="外注費",D1134="経費")),0,K1134)),0)</f>
        <v/>
      </c>
    </row>
    <row r="1135" ht="16" customHeight="1">
      <c r="A1135" s="35" t="n"/>
      <c r="B1135" s="36" t="n"/>
      <c r="C1135" s="37">
        <f>IF(B1135="","",IFERROR(INDEX('案件'!$B$6:$B$105,MATCH(B1135,'案件'!$A$6:$A$105,0))&amp;"","（案件シートに無い番号）"))</f>
        <v/>
      </c>
      <c r="D1135" s="36" t="n"/>
      <c r="E1135" s="38" t="n"/>
      <c r="F1135" s="39" t="n"/>
      <c r="G1135" s="36" t="n"/>
      <c r="H1135" s="40" t="n"/>
      <c r="I1135" s="40" t="n"/>
      <c r="J1135" s="41">
        <f>IF(ISNUMBER(H1135),H1135,IF(AND(D1135="労務費",TRIM(E1135)&lt;&gt;""),IFERROR(INDEX('設定'!$G$12:$G$31,MATCH(TRIM(E1135),'設定'!$J$12:$J$31,0)),""),""))</f>
        <v/>
      </c>
      <c r="K1135" s="30">
        <f>IF(AND(ISNUMBER(F1135),ISNUMBER(J1135)),ROUND(F1135*J1135,0),IF(ISNUMBER(I1135),I1135,""))</f>
        <v/>
      </c>
      <c r="L1135" s="33" t="n"/>
      <c r="M1135" s="34">
        <f>IF(COUNTA(A1135:B1135,D1135:I1135,L1135)=0,"",IF(B1135="","案件番号がありません",IF(ISNA(MATCH(B1135,'案件'!$A$6:$A$105,0)),"案件シートに無い番号です",IF(NOT(OR(D1135="材料費",D1135="労務費",D1135="外注費",D1135="経費")),"費目を4つから選んでください",IF(K1135="",IF(AND(ISNUMBER(F1135),NOT(ISNUMBER(J1135))),IF(D1135="労務費","単価がありません（設定の作業者名と同じ書き方に）","単価がありません"),IF(AND(ISNUMBER(J1135),NOT(ISNUMBER(F1135))),"数量がありません","金額がありません")),IF(NOT(ISNUMBER(A1135)),"日付がありません（月別集計に入りません）",IF(AND(ISNUMBER(F1135),ISNUMBER(J1135),ISNUMBER(I1135)),"数量×単価を使いました（金額の欄は使っていません）","")))))))</f>
        <v/>
      </c>
      <c r="N1135" s="91">
        <f>IF(AND(B1135&lt;&gt;"",B1135='案件カード'!$C$3),COUNTIF($B$5:B1135,'案件カード'!$C$3),"")</f>
        <v/>
      </c>
      <c r="O1135" s="91">
        <f>IF(ISNUMBER(K1135),IF(B1135="",K1135,IF(AND(ISNUMBER(MATCH(B1135,'案件'!$A$6:$A$105,0)),OR(D1135="材料費",D1135="労務費",D1135="外注費",D1135="経費")),0,K1135)),0)</f>
        <v/>
      </c>
    </row>
    <row r="1136" ht="16" customHeight="1">
      <c r="A1136" s="35" t="n"/>
      <c r="B1136" s="36" t="n"/>
      <c r="C1136" s="37">
        <f>IF(B1136="","",IFERROR(INDEX('案件'!$B$6:$B$105,MATCH(B1136,'案件'!$A$6:$A$105,0))&amp;"","（案件シートに無い番号）"))</f>
        <v/>
      </c>
      <c r="D1136" s="36" t="n"/>
      <c r="E1136" s="38" t="n"/>
      <c r="F1136" s="39" t="n"/>
      <c r="G1136" s="36" t="n"/>
      <c r="H1136" s="40" t="n"/>
      <c r="I1136" s="40" t="n"/>
      <c r="J1136" s="41">
        <f>IF(ISNUMBER(H1136),H1136,IF(AND(D1136="労務費",TRIM(E1136)&lt;&gt;""),IFERROR(INDEX('設定'!$G$12:$G$31,MATCH(TRIM(E1136),'設定'!$J$12:$J$31,0)),""),""))</f>
        <v/>
      </c>
      <c r="K1136" s="30">
        <f>IF(AND(ISNUMBER(F1136),ISNUMBER(J1136)),ROUND(F1136*J1136,0),IF(ISNUMBER(I1136),I1136,""))</f>
        <v/>
      </c>
      <c r="L1136" s="33" t="n"/>
      <c r="M1136" s="34">
        <f>IF(COUNTA(A1136:B1136,D1136:I1136,L1136)=0,"",IF(B1136="","案件番号がありません",IF(ISNA(MATCH(B1136,'案件'!$A$6:$A$105,0)),"案件シートに無い番号です",IF(NOT(OR(D1136="材料費",D1136="労務費",D1136="外注費",D1136="経費")),"費目を4つから選んでください",IF(K1136="",IF(AND(ISNUMBER(F1136),NOT(ISNUMBER(J1136))),IF(D1136="労務費","単価がありません（設定の作業者名と同じ書き方に）","単価がありません"),IF(AND(ISNUMBER(J1136),NOT(ISNUMBER(F1136))),"数量がありません","金額がありません")),IF(NOT(ISNUMBER(A1136)),"日付がありません（月別集計に入りません）",IF(AND(ISNUMBER(F1136),ISNUMBER(J1136),ISNUMBER(I1136)),"数量×単価を使いました（金額の欄は使っていません）","")))))))</f>
        <v/>
      </c>
      <c r="N1136" s="91">
        <f>IF(AND(B1136&lt;&gt;"",B1136='案件カード'!$C$3),COUNTIF($B$5:B1136,'案件カード'!$C$3),"")</f>
        <v/>
      </c>
      <c r="O1136" s="91">
        <f>IF(ISNUMBER(K1136),IF(B1136="",K1136,IF(AND(ISNUMBER(MATCH(B1136,'案件'!$A$6:$A$105,0)),OR(D1136="材料費",D1136="労務費",D1136="外注費",D1136="経費")),0,K1136)),0)</f>
        <v/>
      </c>
    </row>
    <row r="1137" ht="16" customHeight="1">
      <c r="A1137" s="35" t="n"/>
      <c r="B1137" s="36" t="n"/>
      <c r="C1137" s="37">
        <f>IF(B1137="","",IFERROR(INDEX('案件'!$B$6:$B$105,MATCH(B1137,'案件'!$A$6:$A$105,0))&amp;"","（案件シートに無い番号）"))</f>
        <v/>
      </c>
      <c r="D1137" s="36" t="n"/>
      <c r="E1137" s="38" t="n"/>
      <c r="F1137" s="39" t="n"/>
      <c r="G1137" s="36" t="n"/>
      <c r="H1137" s="40" t="n"/>
      <c r="I1137" s="40" t="n"/>
      <c r="J1137" s="41">
        <f>IF(ISNUMBER(H1137),H1137,IF(AND(D1137="労務費",TRIM(E1137)&lt;&gt;""),IFERROR(INDEX('設定'!$G$12:$G$31,MATCH(TRIM(E1137),'設定'!$J$12:$J$31,0)),""),""))</f>
        <v/>
      </c>
      <c r="K1137" s="30">
        <f>IF(AND(ISNUMBER(F1137),ISNUMBER(J1137)),ROUND(F1137*J1137,0),IF(ISNUMBER(I1137),I1137,""))</f>
        <v/>
      </c>
      <c r="L1137" s="33" t="n"/>
      <c r="M1137" s="34">
        <f>IF(COUNTA(A1137:B1137,D1137:I1137,L1137)=0,"",IF(B1137="","案件番号がありません",IF(ISNA(MATCH(B1137,'案件'!$A$6:$A$105,0)),"案件シートに無い番号です",IF(NOT(OR(D1137="材料費",D1137="労務費",D1137="外注費",D1137="経費")),"費目を4つから選んでください",IF(K1137="",IF(AND(ISNUMBER(F1137),NOT(ISNUMBER(J1137))),IF(D1137="労務費","単価がありません（設定の作業者名と同じ書き方に）","単価がありません"),IF(AND(ISNUMBER(J1137),NOT(ISNUMBER(F1137))),"数量がありません","金額がありません")),IF(NOT(ISNUMBER(A1137)),"日付がありません（月別集計に入りません）",IF(AND(ISNUMBER(F1137),ISNUMBER(J1137),ISNUMBER(I1137)),"数量×単価を使いました（金額の欄は使っていません）","")))))))</f>
        <v/>
      </c>
      <c r="N1137" s="91">
        <f>IF(AND(B1137&lt;&gt;"",B1137='案件カード'!$C$3),COUNTIF($B$5:B1137,'案件カード'!$C$3),"")</f>
        <v/>
      </c>
      <c r="O1137" s="91">
        <f>IF(ISNUMBER(K1137),IF(B1137="",K1137,IF(AND(ISNUMBER(MATCH(B1137,'案件'!$A$6:$A$105,0)),OR(D1137="材料費",D1137="労務費",D1137="外注費",D1137="経費")),0,K1137)),0)</f>
        <v/>
      </c>
    </row>
    <row r="1138" ht="16" customHeight="1">
      <c r="A1138" s="35" t="n"/>
      <c r="B1138" s="36" t="n"/>
      <c r="C1138" s="37">
        <f>IF(B1138="","",IFERROR(INDEX('案件'!$B$6:$B$105,MATCH(B1138,'案件'!$A$6:$A$105,0))&amp;"","（案件シートに無い番号）"))</f>
        <v/>
      </c>
      <c r="D1138" s="36" t="n"/>
      <c r="E1138" s="38" t="n"/>
      <c r="F1138" s="39" t="n"/>
      <c r="G1138" s="36" t="n"/>
      <c r="H1138" s="40" t="n"/>
      <c r="I1138" s="40" t="n"/>
      <c r="J1138" s="41">
        <f>IF(ISNUMBER(H1138),H1138,IF(AND(D1138="労務費",TRIM(E1138)&lt;&gt;""),IFERROR(INDEX('設定'!$G$12:$G$31,MATCH(TRIM(E1138),'設定'!$J$12:$J$31,0)),""),""))</f>
        <v/>
      </c>
      <c r="K1138" s="30">
        <f>IF(AND(ISNUMBER(F1138),ISNUMBER(J1138)),ROUND(F1138*J1138,0),IF(ISNUMBER(I1138),I1138,""))</f>
        <v/>
      </c>
      <c r="L1138" s="33" t="n"/>
      <c r="M1138" s="34">
        <f>IF(COUNTA(A1138:B1138,D1138:I1138,L1138)=0,"",IF(B1138="","案件番号がありません",IF(ISNA(MATCH(B1138,'案件'!$A$6:$A$105,0)),"案件シートに無い番号です",IF(NOT(OR(D1138="材料費",D1138="労務費",D1138="外注費",D1138="経費")),"費目を4つから選んでください",IF(K1138="",IF(AND(ISNUMBER(F1138),NOT(ISNUMBER(J1138))),IF(D1138="労務費","単価がありません（設定の作業者名と同じ書き方に）","単価がありません"),IF(AND(ISNUMBER(J1138),NOT(ISNUMBER(F1138))),"数量がありません","金額がありません")),IF(NOT(ISNUMBER(A1138)),"日付がありません（月別集計に入りません）",IF(AND(ISNUMBER(F1138),ISNUMBER(J1138),ISNUMBER(I1138)),"数量×単価を使いました（金額の欄は使っていません）","")))))))</f>
        <v/>
      </c>
      <c r="N1138" s="91">
        <f>IF(AND(B1138&lt;&gt;"",B1138='案件カード'!$C$3),COUNTIF($B$5:B1138,'案件カード'!$C$3),"")</f>
        <v/>
      </c>
      <c r="O1138" s="91">
        <f>IF(ISNUMBER(K1138),IF(B1138="",K1138,IF(AND(ISNUMBER(MATCH(B1138,'案件'!$A$6:$A$105,0)),OR(D1138="材料費",D1138="労務費",D1138="外注費",D1138="経費")),0,K1138)),0)</f>
        <v/>
      </c>
    </row>
    <row r="1139" ht="16" customHeight="1">
      <c r="A1139" s="35" t="n"/>
      <c r="B1139" s="36" t="n"/>
      <c r="C1139" s="37">
        <f>IF(B1139="","",IFERROR(INDEX('案件'!$B$6:$B$105,MATCH(B1139,'案件'!$A$6:$A$105,0))&amp;"","（案件シートに無い番号）"))</f>
        <v/>
      </c>
      <c r="D1139" s="36" t="n"/>
      <c r="E1139" s="38" t="n"/>
      <c r="F1139" s="39" t="n"/>
      <c r="G1139" s="36" t="n"/>
      <c r="H1139" s="40" t="n"/>
      <c r="I1139" s="40" t="n"/>
      <c r="J1139" s="41">
        <f>IF(ISNUMBER(H1139),H1139,IF(AND(D1139="労務費",TRIM(E1139)&lt;&gt;""),IFERROR(INDEX('設定'!$G$12:$G$31,MATCH(TRIM(E1139),'設定'!$J$12:$J$31,0)),""),""))</f>
        <v/>
      </c>
      <c r="K1139" s="30">
        <f>IF(AND(ISNUMBER(F1139),ISNUMBER(J1139)),ROUND(F1139*J1139,0),IF(ISNUMBER(I1139),I1139,""))</f>
        <v/>
      </c>
      <c r="L1139" s="33" t="n"/>
      <c r="M1139" s="34">
        <f>IF(COUNTA(A1139:B1139,D1139:I1139,L1139)=0,"",IF(B1139="","案件番号がありません",IF(ISNA(MATCH(B1139,'案件'!$A$6:$A$105,0)),"案件シートに無い番号です",IF(NOT(OR(D1139="材料費",D1139="労務費",D1139="外注費",D1139="経費")),"費目を4つから選んでください",IF(K1139="",IF(AND(ISNUMBER(F1139),NOT(ISNUMBER(J1139))),IF(D1139="労務費","単価がありません（設定の作業者名と同じ書き方に）","単価がありません"),IF(AND(ISNUMBER(J1139),NOT(ISNUMBER(F1139))),"数量がありません","金額がありません")),IF(NOT(ISNUMBER(A1139)),"日付がありません（月別集計に入りません）",IF(AND(ISNUMBER(F1139),ISNUMBER(J1139),ISNUMBER(I1139)),"数量×単価を使いました（金額の欄は使っていません）","")))))))</f>
        <v/>
      </c>
      <c r="N1139" s="91">
        <f>IF(AND(B1139&lt;&gt;"",B1139='案件カード'!$C$3),COUNTIF($B$5:B1139,'案件カード'!$C$3),"")</f>
        <v/>
      </c>
      <c r="O1139" s="91">
        <f>IF(ISNUMBER(K1139),IF(B1139="",K1139,IF(AND(ISNUMBER(MATCH(B1139,'案件'!$A$6:$A$105,0)),OR(D1139="材料費",D1139="労務費",D1139="外注費",D1139="経費")),0,K1139)),0)</f>
        <v/>
      </c>
    </row>
    <row r="1140" ht="16" customHeight="1">
      <c r="A1140" s="35" t="n"/>
      <c r="B1140" s="36" t="n"/>
      <c r="C1140" s="37">
        <f>IF(B1140="","",IFERROR(INDEX('案件'!$B$6:$B$105,MATCH(B1140,'案件'!$A$6:$A$105,0))&amp;"","（案件シートに無い番号）"))</f>
        <v/>
      </c>
      <c r="D1140" s="36" t="n"/>
      <c r="E1140" s="38" t="n"/>
      <c r="F1140" s="39" t="n"/>
      <c r="G1140" s="36" t="n"/>
      <c r="H1140" s="40" t="n"/>
      <c r="I1140" s="40" t="n"/>
      <c r="J1140" s="41">
        <f>IF(ISNUMBER(H1140),H1140,IF(AND(D1140="労務費",TRIM(E1140)&lt;&gt;""),IFERROR(INDEX('設定'!$G$12:$G$31,MATCH(TRIM(E1140),'設定'!$J$12:$J$31,0)),""),""))</f>
        <v/>
      </c>
      <c r="K1140" s="30">
        <f>IF(AND(ISNUMBER(F1140),ISNUMBER(J1140)),ROUND(F1140*J1140,0),IF(ISNUMBER(I1140),I1140,""))</f>
        <v/>
      </c>
      <c r="L1140" s="33" t="n"/>
      <c r="M1140" s="34">
        <f>IF(COUNTA(A1140:B1140,D1140:I1140,L1140)=0,"",IF(B1140="","案件番号がありません",IF(ISNA(MATCH(B1140,'案件'!$A$6:$A$105,0)),"案件シートに無い番号です",IF(NOT(OR(D1140="材料費",D1140="労務費",D1140="外注費",D1140="経費")),"費目を4つから選んでください",IF(K1140="",IF(AND(ISNUMBER(F1140),NOT(ISNUMBER(J1140))),IF(D1140="労務費","単価がありません（設定の作業者名と同じ書き方に）","単価がありません"),IF(AND(ISNUMBER(J1140),NOT(ISNUMBER(F1140))),"数量がありません","金額がありません")),IF(NOT(ISNUMBER(A1140)),"日付がありません（月別集計に入りません）",IF(AND(ISNUMBER(F1140),ISNUMBER(J1140),ISNUMBER(I1140)),"数量×単価を使いました（金額の欄は使っていません）","")))))))</f>
        <v/>
      </c>
      <c r="N1140" s="91">
        <f>IF(AND(B1140&lt;&gt;"",B1140='案件カード'!$C$3),COUNTIF($B$5:B1140,'案件カード'!$C$3),"")</f>
        <v/>
      </c>
      <c r="O1140" s="91">
        <f>IF(ISNUMBER(K1140),IF(B1140="",K1140,IF(AND(ISNUMBER(MATCH(B1140,'案件'!$A$6:$A$105,0)),OR(D1140="材料費",D1140="労務費",D1140="外注費",D1140="経費")),0,K1140)),0)</f>
        <v/>
      </c>
    </row>
    <row r="1141" ht="16" customHeight="1">
      <c r="A1141" s="35" t="n"/>
      <c r="B1141" s="36" t="n"/>
      <c r="C1141" s="37">
        <f>IF(B1141="","",IFERROR(INDEX('案件'!$B$6:$B$105,MATCH(B1141,'案件'!$A$6:$A$105,0))&amp;"","（案件シートに無い番号）"))</f>
        <v/>
      </c>
      <c r="D1141" s="36" t="n"/>
      <c r="E1141" s="38" t="n"/>
      <c r="F1141" s="39" t="n"/>
      <c r="G1141" s="36" t="n"/>
      <c r="H1141" s="40" t="n"/>
      <c r="I1141" s="40" t="n"/>
      <c r="J1141" s="41">
        <f>IF(ISNUMBER(H1141),H1141,IF(AND(D1141="労務費",TRIM(E1141)&lt;&gt;""),IFERROR(INDEX('設定'!$G$12:$G$31,MATCH(TRIM(E1141),'設定'!$J$12:$J$31,0)),""),""))</f>
        <v/>
      </c>
      <c r="K1141" s="30">
        <f>IF(AND(ISNUMBER(F1141),ISNUMBER(J1141)),ROUND(F1141*J1141,0),IF(ISNUMBER(I1141),I1141,""))</f>
        <v/>
      </c>
      <c r="L1141" s="33" t="n"/>
      <c r="M1141" s="34">
        <f>IF(COUNTA(A1141:B1141,D1141:I1141,L1141)=0,"",IF(B1141="","案件番号がありません",IF(ISNA(MATCH(B1141,'案件'!$A$6:$A$105,0)),"案件シートに無い番号です",IF(NOT(OR(D1141="材料費",D1141="労務費",D1141="外注費",D1141="経費")),"費目を4つから選んでください",IF(K1141="",IF(AND(ISNUMBER(F1141),NOT(ISNUMBER(J1141))),IF(D1141="労務費","単価がありません（設定の作業者名と同じ書き方に）","単価がありません"),IF(AND(ISNUMBER(J1141),NOT(ISNUMBER(F1141))),"数量がありません","金額がありません")),IF(NOT(ISNUMBER(A1141)),"日付がありません（月別集計に入りません）",IF(AND(ISNUMBER(F1141),ISNUMBER(J1141),ISNUMBER(I1141)),"数量×単価を使いました（金額の欄は使っていません）","")))))))</f>
        <v/>
      </c>
      <c r="N1141" s="91">
        <f>IF(AND(B1141&lt;&gt;"",B1141='案件カード'!$C$3),COUNTIF($B$5:B1141,'案件カード'!$C$3),"")</f>
        <v/>
      </c>
      <c r="O1141" s="91">
        <f>IF(ISNUMBER(K1141),IF(B1141="",K1141,IF(AND(ISNUMBER(MATCH(B1141,'案件'!$A$6:$A$105,0)),OR(D1141="材料費",D1141="労務費",D1141="外注費",D1141="経費")),0,K1141)),0)</f>
        <v/>
      </c>
    </row>
    <row r="1142" ht="16" customHeight="1">
      <c r="A1142" s="35" t="n"/>
      <c r="B1142" s="36" t="n"/>
      <c r="C1142" s="37">
        <f>IF(B1142="","",IFERROR(INDEX('案件'!$B$6:$B$105,MATCH(B1142,'案件'!$A$6:$A$105,0))&amp;"","（案件シートに無い番号）"))</f>
        <v/>
      </c>
      <c r="D1142" s="36" t="n"/>
      <c r="E1142" s="38" t="n"/>
      <c r="F1142" s="39" t="n"/>
      <c r="G1142" s="36" t="n"/>
      <c r="H1142" s="40" t="n"/>
      <c r="I1142" s="40" t="n"/>
      <c r="J1142" s="41">
        <f>IF(ISNUMBER(H1142),H1142,IF(AND(D1142="労務費",TRIM(E1142)&lt;&gt;""),IFERROR(INDEX('設定'!$G$12:$G$31,MATCH(TRIM(E1142),'設定'!$J$12:$J$31,0)),""),""))</f>
        <v/>
      </c>
      <c r="K1142" s="30">
        <f>IF(AND(ISNUMBER(F1142),ISNUMBER(J1142)),ROUND(F1142*J1142,0),IF(ISNUMBER(I1142),I1142,""))</f>
        <v/>
      </c>
      <c r="L1142" s="33" t="n"/>
      <c r="M1142" s="34">
        <f>IF(COUNTA(A1142:B1142,D1142:I1142,L1142)=0,"",IF(B1142="","案件番号がありません",IF(ISNA(MATCH(B1142,'案件'!$A$6:$A$105,0)),"案件シートに無い番号です",IF(NOT(OR(D1142="材料費",D1142="労務費",D1142="外注費",D1142="経費")),"費目を4つから選んでください",IF(K1142="",IF(AND(ISNUMBER(F1142),NOT(ISNUMBER(J1142))),IF(D1142="労務費","単価がありません（設定の作業者名と同じ書き方に）","単価がありません"),IF(AND(ISNUMBER(J1142),NOT(ISNUMBER(F1142))),"数量がありません","金額がありません")),IF(NOT(ISNUMBER(A1142)),"日付がありません（月別集計に入りません）",IF(AND(ISNUMBER(F1142),ISNUMBER(J1142),ISNUMBER(I1142)),"数量×単価を使いました（金額の欄は使っていません）","")))))))</f>
        <v/>
      </c>
      <c r="N1142" s="91">
        <f>IF(AND(B1142&lt;&gt;"",B1142='案件カード'!$C$3),COUNTIF($B$5:B1142,'案件カード'!$C$3),"")</f>
        <v/>
      </c>
      <c r="O1142" s="91">
        <f>IF(ISNUMBER(K1142),IF(B1142="",K1142,IF(AND(ISNUMBER(MATCH(B1142,'案件'!$A$6:$A$105,0)),OR(D1142="材料費",D1142="労務費",D1142="外注費",D1142="経費")),0,K1142)),0)</f>
        <v/>
      </c>
    </row>
    <row r="1143" ht="16" customHeight="1">
      <c r="A1143" s="35" t="n"/>
      <c r="B1143" s="36" t="n"/>
      <c r="C1143" s="37">
        <f>IF(B1143="","",IFERROR(INDEX('案件'!$B$6:$B$105,MATCH(B1143,'案件'!$A$6:$A$105,0))&amp;"","（案件シートに無い番号）"))</f>
        <v/>
      </c>
      <c r="D1143" s="36" t="n"/>
      <c r="E1143" s="38" t="n"/>
      <c r="F1143" s="39" t="n"/>
      <c r="G1143" s="36" t="n"/>
      <c r="H1143" s="40" t="n"/>
      <c r="I1143" s="40" t="n"/>
      <c r="J1143" s="41">
        <f>IF(ISNUMBER(H1143),H1143,IF(AND(D1143="労務費",TRIM(E1143)&lt;&gt;""),IFERROR(INDEX('設定'!$G$12:$G$31,MATCH(TRIM(E1143),'設定'!$J$12:$J$31,0)),""),""))</f>
        <v/>
      </c>
      <c r="K1143" s="30">
        <f>IF(AND(ISNUMBER(F1143),ISNUMBER(J1143)),ROUND(F1143*J1143,0),IF(ISNUMBER(I1143),I1143,""))</f>
        <v/>
      </c>
      <c r="L1143" s="33" t="n"/>
      <c r="M1143" s="34">
        <f>IF(COUNTA(A1143:B1143,D1143:I1143,L1143)=0,"",IF(B1143="","案件番号がありません",IF(ISNA(MATCH(B1143,'案件'!$A$6:$A$105,0)),"案件シートに無い番号です",IF(NOT(OR(D1143="材料費",D1143="労務費",D1143="外注費",D1143="経費")),"費目を4つから選んでください",IF(K1143="",IF(AND(ISNUMBER(F1143),NOT(ISNUMBER(J1143))),IF(D1143="労務費","単価がありません（設定の作業者名と同じ書き方に）","単価がありません"),IF(AND(ISNUMBER(J1143),NOT(ISNUMBER(F1143))),"数量がありません","金額がありません")),IF(NOT(ISNUMBER(A1143)),"日付がありません（月別集計に入りません）",IF(AND(ISNUMBER(F1143),ISNUMBER(J1143),ISNUMBER(I1143)),"数量×単価を使いました（金額の欄は使っていません）","")))))))</f>
        <v/>
      </c>
      <c r="N1143" s="91">
        <f>IF(AND(B1143&lt;&gt;"",B1143='案件カード'!$C$3),COUNTIF($B$5:B1143,'案件カード'!$C$3),"")</f>
        <v/>
      </c>
      <c r="O1143" s="91">
        <f>IF(ISNUMBER(K1143),IF(B1143="",K1143,IF(AND(ISNUMBER(MATCH(B1143,'案件'!$A$6:$A$105,0)),OR(D1143="材料費",D1143="労務費",D1143="外注費",D1143="経費")),0,K1143)),0)</f>
        <v/>
      </c>
    </row>
    <row r="1144" ht="16" customHeight="1">
      <c r="A1144" s="35" t="n"/>
      <c r="B1144" s="36" t="n"/>
      <c r="C1144" s="37">
        <f>IF(B1144="","",IFERROR(INDEX('案件'!$B$6:$B$105,MATCH(B1144,'案件'!$A$6:$A$105,0))&amp;"","（案件シートに無い番号）"))</f>
        <v/>
      </c>
      <c r="D1144" s="36" t="n"/>
      <c r="E1144" s="38" t="n"/>
      <c r="F1144" s="39" t="n"/>
      <c r="G1144" s="36" t="n"/>
      <c r="H1144" s="40" t="n"/>
      <c r="I1144" s="40" t="n"/>
      <c r="J1144" s="41">
        <f>IF(ISNUMBER(H1144),H1144,IF(AND(D1144="労務費",TRIM(E1144)&lt;&gt;""),IFERROR(INDEX('設定'!$G$12:$G$31,MATCH(TRIM(E1144),'設定'!$J$12:$J$31,0)),""),""))</f>
        <v/>
      </c>
      <c r="K1144" s="30">
        <f>IF(AND(ISNUMBER(F1144),ISNUMBER(J1144)),ROUND(F1144*J1144,0),IF(ISNUMBER(I1144),I1144,""))</f>
        <v/>
      </c>
      <c r="L1144" s="33" t="n"/>
      <c r="M1144" s="34">
        <f>IF(COUNTA(A1144:B1144,D1144:I1144,L1144)=0,"",IF(B1144="","案件番号がありません",IF(ISNA(MATCH(B1144,'案件'!$A$6:$A$105,0)),"案件シートに無い番号です",IF(NOT(OR(D1144="材料費",D1144="労務費",D1144="外注費",D1144="経費")),"費目を4つから選んでください",IF(K1144="",IF(AND(ISNUMBER(F1144),NOT(ISNUMBER(J1144))),IF(D1144="労務費","単価がありません（設定の作業者名と同じ書き方に）","単価がありません"),IF(AND(ISNUMBER(J1144),NOT(ISNUMBER(F1144))),"数量がありません","金額がありません")),IF(NOT(ISNUMBER(A1144)),"日付がありません（月別集計に入りません）",IF(AND(ISNUMBER(F1144),ISNUMBER(J1144),ISNUMBER(I1144)),"数量×単価を使いました（金額の欄は使っていません）","")))))))</f>
        <v/>
      </c>
      <c r="N1144" s="91">
        <f>IF(AND(B1144&lt;&gt;"",B1144='案件カード'!$C$3),COUNTIF($B$5:B1144,'案件カード'!$C$3),"")</f>
        <v/>
      </c>
      <c r="O1144" s="91">
        <f>IF(ISNUMBER(K1144),IF(B1144="",K1144,IF(AND(ISNUMBER(MATCH(B1144,'案件'!$A$6:$A$105,0)),OR(D1144="材料費",D1144="労務費",D1144="外注費",D1144="経費")),0,K1144)),0)</f>
        <v/>
      </c>
    </row>
    <row r="1145" ht="16" customHeight="1">
      <c r="A1145" s="35" t="n"/>
      <c r="B1145" s="36" t="n"/>
      <c r="C1145" s="37">
        <f>IF(B1145="","",IFERROR(INDEX('案件'!$B$6:$B$105,MATCH(B1145,'案件'!$A$6:$A$105,0))&amp;"","（案件シートに無い番号）"))</f>
        <v/>
      </c>
      <c r="D1145" s="36" t="n"/>
      <c r="E1145" s="38" t="n"/>
      <c r="F1145" s="39" t="n"/>
      <c r="G1145" s="36" t="n"/>
      <c r="H1145" s="40" t="n"/>
      <c r="I1145" s="40" t="n"/>
      <c r="J1145" s="41">
        <f>IF(ISNUMBER(H1145),H1145,IF(AND(D1145="労務費",TRIM(E1145)&lt;&gt;""),IFERROR(INDEX('設定'!$G$12:$G$31,MATCH(TRIM(E1145),'設定'!$J$12:$J$31,0)),""),""))</f>
        <v/>
      </c>
      <c r="K1145" s="30">
        <f>IF(AND(ISNUMBER(F1145),ISNUMBER(J1145)),ROUND(F1145*J1145,0),IF(ISNUMBER(I1145),I1145,""))</f>
        <v/>
      </c>
      <c r="L1145" s="33" t="n"/>
      <c r="M1145" s="34">
        <f>IF(COUNTA(A1145:B1145,D1145:I1145,L1145)=0,"",IF(B1145="","案件番号がありません",IF(ISNA(MATCH(B1145,'案件'!$A$6:$A$105,0)),"案件シートに無い番号です",IF(NOT(OR(D1145="材料費",D1145="労務費",D1145="外注費",D1145="経費")),"費目を4つから選んでください",IF(K1145="",IF(AND(ISNUMBER(F1145),NOT(ISNUMBER(J1145))),IF(D1145="労務費","単価がありません（設定の作業者名と同じ書き方に）","単価がありません"),IF(AND(ISNUMBER(J1145),NOT(ISNUMBER(F1145))),"数量がありません","金額がありません")),IF(NOT(ISNUMBER(A1145)),"日付がありません（月別集計に入りません）",IF(AND(ISNUMBER(F1145),ISNUMBER(J1145),ISNUMBER(I1145)),"数量×単価を使いました（金額の欄は使っていません）","")))))))</f>
        <v/>
      </c>
      <c r="N1145" s="91">
        <f>IF(AND(B1145&lt;&gt;"",B1145='案件カード'!$C$3),COUNTIF($B$5:B1145,'案件カード'!$C$3),"")</f>
        <v/>
      </c>
      <c r="O1145" s="91">
        <f>IF(ISNUMBER(K1145),IF(B1145="",K1145,IF(AND(ISNUMBER(MATCH(B1145,'案件'!$A$6:$A$105,0)),OR(D1145="材料費",D1145="労務費",D1145="外注費",D1145="経費")),0,K1145)),0)</f>
        <v/>
      </c>
    </row>
    <row r="1146" ht="16" customHeight="1">
      <c r="A1146" s="35" t="n"/>
      <c r="B1146" s="36" t="n"/>
      <c r="C1146" s="37">
        <f>IF(B1146="","",IFERROR(INDEX('案件'!$B$6:$B$105,MATCH(B1146,'案件'!$A$6:$A$105,0))&amp;"","（案件シートに無い番号）"))</f>
        <v/>
      </c>
      <c r="D1146" s="36" t="n"/>
      <c r="E1146" s="38" t="n"/>
      <c r="F1146" s="39" t="n"/>
      <c r="G1146" s="36" t="n"/>
      <c r="H1146" s="40" t="n"/>
      <c r="I1146" s="40" t="n"/>
      <c r="J1146" s="41">
        <f>IF(ISNUMBER(H1146),H1146,IF(AND(D1146="労務費",TRIM(E1146)&lt;&gt;""),IFERROR(INDEX('設定'!$G$12:$G$31,MATCH(TRIM(E1146),'設定'!$J$12:$J$31,0)),""),""))</f>
        <v/>
      </c>
      <c r="K1146" s="30">
        <f>IF(AND(ISNUMBER(F1146),ISNUMBER(J1146)),ROUND(F1146*J1146,0),IF(ISNUMBER(I1146),I1146,""))</f>
        <v/>
      </c>
      <c r="L1146" s="33" t="n"/>
      <c r="M1146" s="34">
        <f>IF(COUNTA(A1146:B1146,D1146:I1146,L1146)=0,"",IF(B1146="","案件番号がありません",IF(ISNA(MATCH(B1146,'案件'!$A$6:$A$105,0)),"案件シートに無い番号です",IF(NOT(OR(D1146="材料費",D1146="労務費",D1146="外注費",D1146="経費")),"費目を4つから選んでください",IF(K1146="",IF(AND(ISNUMBER(F1146),NOT(ISNUMBER(J1146))),IF(D1146="労務費","単価がありません（設定の作業者名と同じ書き方に）","単価がありません"),IF(AND(ISNUMBER(J1146),NOT(ISNUMBER(F1146))),"数量がありません","金額がありません")),IF(NOT(ISNUMBER(A1146)),"日付がありません（月別集計に入りません）",IF(AND(ISNUMBER(F1146),ISNUMBER(J1146),ISNUMBER(I1146)),"数量×単価を使いました（金額の欄は使っていません）","")))))))</f>
        <v/>
      </c>
      <c r="N1146" s="91">
        <f>IF(AND(B1146&lt;&gt;"",B1146='案件カード'!$C$3),COUNTIF($B$5:B1146,'案件カード'!$C$3),"")</f>
        <v/>
      </c>
      <c r="O1146" s="91">
        <f>IF(ISNUMBER(K1146),IF(B1146="",K1146,IF(AND(ISNUMBER(MATCH(B1146,'案件'!$A$6:$A$105,0)),OR(D1146="材料費",D1146="労務費",D1146="外注費",D1146="経費")),0,K1146)),0)</f>
        <v/>
      </c>
    </row>
    <row r="1147" ht="16" customHeight="1">
      <c r="A1147" s="35" t="n"/>
      <c r="B1147" s="36" t="n"/>
      <c r="C1147" s="37">
        <f>IF(B1147="","",IFERROR(INDEX('案件'!$B$6:$B$105,MATCH(B1147,'案件'!$A$6:$A$105,0))&amp;"","（案件シートに無い番号）"))</f>
        <v/>
      </c>
      <c r="D1147" s="36" t="n"/>
      <c r="E1147" s="38" t="n"/>
      <c r="F1147" s="39" t="n"/>
      <c r="G1147" s="36" t="n"/>
      <c r="H1147" s="40" t="n"/>
      <c r="I1147" s="40" t="n"/>
      <c r="J1147" s="41">
        <f>IF(ISNUMBER(H1147),H1147,IF(AND(D1147="労務費",TRIM(E1147)&lt;&gt;""),IFERROR(INDEX('設定'!$G$12:$G$31,MATCH(TRIM(E1147),'設定'!$J$12:$J$31,0)),""),""))</f>
        <v/>
      </c>
      <c r="K1147" s="30">
        <f>IF(AND(ISNUMBER(F1147),ISNUMBER(J1147)),ROUND(F1147*J1147,0),IF(ISNUMBER(I1147),I1147,""))</f>
        <v/>
      </c>
      <c r="L1147" s="33" t="n"/>
      <c r="M1147" s="34">
        <f>IF(COUNTA(A1147:B1147,D1147:I1147,L1147)=0,"",IF(B1147="","案件番号がありません",IF(ISNA(MATCH(B1147,'案件'!$A$6:$A$105,0)),"案件シートに無い番号です",IF(NOT(OR(D1147="材料費",D1147="労務費",D1147="外注費",D1147="経費")),"費目を4つから選んでください",IF(K1147="",IF(AND(ISNUMBER(F1147),NOT(ISNUMBER(J1147))),IF(D1147="労務費","単価がありません（設定の作業者名と同じ書き方に）","単価がありません"),IF(AND(ISNUMBER(J1147),NOT(ISNUMBER(F1147))),"数量がありません","金額がありません")),IF(NOT(ISNUMBER(A1147)),"日付がありません（月別集計に入りません）",IF(AND(ISNUMBER(F1147),ISNUMBER(J1147),ISNUMBER(I1147)),"数量×単価を使いました（金額の欄は使っていません）","")))))))</f>
        <v/>
      </c>
      <c r="N1147" s="91">
        <f>IF(AND(B1147&lt;&gt;"",B1147='案件カード'!$C$3),COUNTIF($B$5:B1147,'案件カード'!$C$3),"")</f>
        <v/>
      </c>
      <c r="O1147" s="91">
        <f>IF(ISNUMBER(K1147),IF(B1147="",K1147,IF(AND(ISNUMBER(MATCH(B1147,'案件'!$A$6:$A$105,0)),OR(D1147="材料費",D1147="労務費",D1147="外注費",D1147="経費")),0,K1147)),0)</f>
        <v/>
      </c>
    </row>
    <row r="1148" ht="16" customHeight="1">
      <c r="A1148" s="35" t="n"/>
      <c r="B1148" s="36" t="n"/>
      <c r="C1148" s="37">
        <f>IF(B1148="","",IFERROR(INDEX('案件'!$B$6:$B$105,MATCH(B1148,'案件'!$A$6:$A$105,0))&amp;"","（案件シートに無い番号）"))</f>
        <v/>
      </c>
      <c r="D1148" s="36" t="n"/>
      <c r="E1148" s="38" t="n"/>
      <c r="F1148" s="39" t="n"/>
      <c r="G1148" s="36" t="n"/>
      <c r="H1148" s="40" t="n"/>
      <c r="I1148" s="40" t="n"/>
      <c r="J1148" s="41">
        <f>IF(ISNUMBER(H1148),H1148,IF(AND(D1148="労務費",TRIM(E1148)&lt;&gt;""),IFERROR(INDEX('設定'!$G$12:$G$31,MATCH(TRIM(E1148),'設定'!$J$12:$J$31,0)),""),""))</f>
        <v/>
      </c>
      <c r="K1148" s="30">
        <f>IF(AND(ISNUMBER(F1148),ISNUMBER(J1148)),ROUND(F1148*J1148,0),IF(ISNUMBER(I1148),I1148,""))</f>
        <v/>
      </c>
      <c r="L1148" s="33" t="n"/>
      <c r="M1148" s="34">
        <f>IF(COUNTA(A1148:B1148,D1148:I1148,L1148)=0,"",IF(B1148="","案件番号がありません",IF(ISNA(MATCH(B1148,'案件'!$A$6:$A$105,0)),"案件シートに無い番号です",IF(NOT(OR(D1148="材料費",D1148="労務費",D1148="外注費",D1148="経費")),"費目を4つから選んでください",IF(K1148="",IF(AND(ISNUMBER(F1148),NOT(ISNUMBER(J1148))),IF(D1148="労務費","単価がありません（設定の作業者名と同じ書き方に）","単価がありません"),IF(AND(ISNUMBER(J1148),NOT(ISNUMBER(F1148))),"数量がありません","金額がありません")),IF(NOT(ISNUMBER(A1148)),"日付がありません（月別集計に入りません）",IF(AND(ISNUMBER(F1148),ISNUMBER(J1148),ISNUMBER(I1148)),"数量×単価を使いました（金額の欄は使っていません）","")))))))</f>
        <v/>
      </c>
      <c r="N1148" s="91">
        <f>IF(AND(B1148&lt;&gt;"",B1148='案件カード'!$C$3),COUNTIF($B$5:B1148,'案件カード'!$C$3),"")</f>
        <v/>
      </c>
      <c r="O1148" s="91">
        <f>IF(ISNUMBER(K1148),IF(B1148="",K1148,IF(AND(ISNUMBER(MATCH(B1148,'案件'!$A$6:$A$105,0)),OR(D1148="材料費",D1148="労務費",D1148="外注費",D1148="経費")),0,K1148)),0)</f>
        <v/>
      </c>
    </row>
    <row r="1149" ht="16" customHeight="1">
      <c r="A1149" s="35" t="n"/>
      <c r="B1149" s="36" t="n"/>
      <c r="C1149" s="37">
        <f>IF(B1149="","",IFERROR(INDEX('案件'!$B$6:$B$105,MATCH(B1149,'案件'!$A$6:$A$105,0))&amp;"","（案件シートに無い番号）"))</f>
        <v/>
      </c>
      <c r="D1149" s="36" t="n"/>
      <c r="E1149" s="38" t="n"/>
      <c r="F1149" s="39" t="n"/>
      <c r="G1149" s="36" t="n"/>
      <c r="H1149" s="40" t="n"/>
      <c r="I1149" s="40" t="n"/>
      <c r="J1149" s="41">
        <f>IF(ISNUMBER(H1149),H1149,IF(AND(D1149="労務費",TRIM(E1149)&lt;&gt;""),IFERROR(INDEX('設定'!$G$12:$G$31,MATCH(TRIM(E1149),'設定'!$J$12:$J$31,0)),""),""))</f>
        <v/>
      </c>
      <c r="K1149" s="30">
        <f>IF(AND(ISNUMBER(F1149),ISNUMBER(J1149)),ROUND(F1149*J1149,0),IF(ISNUMBER(I1149),I1149,""))</f>
        <v/>
      </c>
      <c r="L1149" s="33" t="n"/>
      <c r="M1149" s="34">
        <f>IF(COUNTA(A1149:B1149,D1149:I1149,L1149)=0,"",IF(B1149="","案件番号がありません",IF(ISNA(MATCH(B1149,'案件'!$A$6:$A$105,0)),"案件シートに無い番号です",IF(NOT(OR(D1149="材料費",D1149="労務費",D1149="外注費",D1149="経費")),"費目を4つから選んでください",IF(K1149="",IF(AND(ISNUMBER(F1149),NOT(ISNUMBER(J1149))),IF(D1149="労務費","単価がありません（設定の作業者名と同じ書き方に）","単価がありません"),IF(AND(ISNUMBER(J1149),NOT(ISNUMBER(F1149))),"数量がありません","金額がありません")),IF(NOT(ISNUMBER(A1149)),"日付がありません（月別集計に入りません）",IF(AND(ISNUMBER(F1149),ISNUMBER(J1149),ISNUMBER(I1149)),"数量×単価を使いました（金額の欄は使っていません）","")))))))</f>
        <v/>
      </c>
      <c r="N1149" s="91">
        <f>IF(AND(B1149&lt;&gt;"",B1149='案件カード'!$C$3),COUNTIF($B$5:B1149,'案件カード'!$C$3),"")</f>
        <v/>
      </c>
      <c r="O1149" s="91">
        <f>IF(ISNUMBER(K1149),IF(B1149="",K1149,IF(AND(ISNUMBER(MATCH(B1149,'案件'!$A$6:$A$105,0)),OR(D1149="材料費",D1149="労務費",D1149="外注費",D1149="経費")),0,K1149)),0)</f>
        <v/>
      </c>
    </row>
    <row r="1150" ht="16" customHeight="1">
      <c r="A1150" s="35" t="n"/>
      <c r="B1150" s="36" t="n"/>
      <c r="C1150" s="37">
        <f>IF(B1150="","",IFERROR(INDEX('案件'!$B$6:$B$105,MATCH(B1150,'案件'!$A$6:$A$105,0))&amp;"","（案件シートに無い番号）"))</f>
        <v/>
      </c>
      <c r="D1150" s="36" t="n"/>
      <c r="E1150" s="38" t="n"/>
      <c r="F1150" s="39" t="n"/>
      <c r="G1150" s="36" t="n"/>
      <c r="H1150" s="40" t="n"/>
      <c r="I1150" s="40" t="n"/>
      <c r="J1150" s="41">
        <f>IF(ISNUMBER(H1150),H1150,IF(AND(D1150="労務費",TRIM(E1150)&lt;&gt;""),IFERROR(INDEX('設定'!$G$12:$G$31,MATCH(TRIM(E1150),'設定'!$J$12:$J$31,0)),""),""))</f>
        <v/>
      </c>
      <c r="K1150" s="30">
        <f>IF(AND(ISNUMBER(F1150),ISNUMBER(J1150)),ROUND(F1150*J1150,0),IF(ISNUMBER(I1150),I1150,""))</f>
        <v/>
      </c>
      <c r="L1150" s="33" t="n"/>
      <c r="M1150" s="34">
        <f>IF(COUNTA(A1150:B1150,D1150:I1150,L1150)=0,"",IF(B1150="","案件番号がありません",IF(ISNA(MATCH(B1150,'案件'!$A$6:$A$105,0)),"案件シートに無い番号です",IF(NOT(OR(D1150="材料費",D1150="労務費",D1150="外注費",D1150="経費")),"費目を4つから選んでください",IF(K1150="",IF(AND(ISNUMBER(F1150),NOT(ISNUMBER(J1150))),IF(D1150="労務費","単価がありません（設定の作業者名と同じ書き方に）","単価がありません"),IF(AND(ISNUMBER(J1150),NOT(ISNUMBER(F1150))),"数量がありません","金額がありません")),IF(NOT(ISNUMBER(A1150)),"日付がありません（月別集計に入りません）",IF(AND(ISNUMBER(F1150),ISNUMBER(J1150),ISNUMBER(I1150)),"数量×単価を使いました（金額の欄は使っていません）","")))))))</f>
        <v/>
      </c>
      <c r="N1150" s="91">
        <f>IF(AND(B1150&lt;&gt;"",B1150='案件カード'!$C$3),COUNTIF($B$5:B1150,'案件カード'!$C$3),"")</f>
        <v/>
      </c>
      <c r="O1150" s="91">
        <f>IF(ISNUMBER(K1150),IF(B1150="",K1150,IF(AND(ISNUMBER(MATCH(B1150,'案件'!$A$6:$A$105,0)),OR(D1150="材料費",D1150="労務費",D1150="外注費",D1150="経費")),0,K1150)),0)</f>
        <v/>
      </c>
    </row>
    <row r="1151" ht="16" customHeight="1">
      <c r="A1151" s="35" t="n"/>
      <c r="B1151" s="36" t="n"/>
      <c r="C1151" s="37">
        <f>IF(B1151="","",IFERROR(INDEX('案件'!$B$6:$B$105,MATCH(B1151,'案件'!$A$6:$A$105,0))&amp;"","（案件シートに無い番号）"))</f>
        <v/>
      </c>
      <c r="D1151" s="36" t="n"/>
      <c r="E1151" s="38" t="n"/>
      <c r="F1151" s="39" t="n"/>
      <c r="G1151" s="36" t="n"/>
      <c r="H1151" s="40" t="n"/>
      <c r="I1151" s="40" t="n"/>
      <c r="J1151" s="41">
        <f>IF(ISNUMBER(H1151),H1151,IF(AND(D1151="労務費",TRIM(E1151)&lt;&gt;""),IFERROR(INDEX('設定'!$G$12:$G$31,MATCH(TRIM(E1151),'設定'!$J$12:$J$31,0)),""),""))</f>
        <v/>
      </c>
      <c r="K1151" s="30">
        <f>IF(AND(ISNUMBER(F1151),ISNUMBER(J1151)),ROUND(F1151*J1151,0),IF(ISNUMBER(I1151),I1151,""))</f>
        <v/>
      </c>
      <c r="L1151" s="33" t="n"/>
      <c r="M1151" s="34">
        <f>IF(COUNTA(A1151:B1151,D1151:I1151,L1151)=0,"",IF(B1151="","案件番号がありません",IF(ISNA(MATCH(B1151,'案件'!$A$6:$A$105,0)),"案件シートに無い番号です",IF(NOT(OR(D1151="材料費",D1151="労務費",D1151="外注費",D1151="経費")),"費目を4つから選んでください",IF(K1151="",IF(AND(ISNUMBER(F1151),NOT(ISNUMBER(J1151))),IF(D1151="労務費","単価がありません（設定の作業者名と同じ書き方に）","単価がありません"),IF(AND(ISNUMBER(J1151),NOT(ISNUMBER(F1151))),"数量がありません","金額がありません")),IF(NOT(ISNUMBER(A1151)),"日付がありません（月別集計に入りません）",IF(AND(ISNUMBER(F1151),ISNUMBER(J1151),ISNUMBER(I1151)),"数量×単価を使いました（金額の欄は使っていません）","")))))))</f>
        <v/>
      </c>
      <c r="N1151" s="91">
        <f>IF(AND(B1151&lt;&gt;"",B1151='案件カード'!$C$3),COUNTIF($B$5:B1151,'案件カード'!$C$3),"")</f>
        <v/>
      </c>
      <c r="O1151" s="91">
        <f>IF(ISNUMBER(K1151),IF(B1151="",K1151,IF(AND(ISNUMBER(MATCH(B1151,'案件'!$A$6:$A$105,0)),OR(D1151="材料費",D1151="労務費",D1151="外注費",D1151="経費")),0,K1151)),0)</f>
        <v/>
      </c>
    </row>
    <row r="1152" ht="16" customHeight="1">
      <c r="A1152" s="35" t="n"/>
      <c r="B1152" s="36" t="n"/>
      <c r="C1152" s="37">
        <f>IF(B1152="","",IFERROR(INDEX('案件'!$B$6:$B$105,MATCH(B1152,'案件'!$A$6:$A$105,0))&amp;"","（案件シートに無い番号）"))</f>
        <v/>
      </c>
      <c r="D1152" s="36" t="n"/>
      <c r="E1152" s="38" t="n"/>
      <c r="F1152" s="39" t="n"/>
      <c r="G1152" s="36" t="n"/>
      <c r="H1152" s="40" t="n"/>
      <c r="I1152" s="40" t="n"/>
      <c r="J1152" s="41">
        <f>IF(ISNUMBER(H1152),H1152,IF(AND(D1152="労務費",TRIM(E1152)&lt;&gt;""),IFERROR(INDEX('設定'!$G$12:$G$31,MATCH(TRIM(E1152),'設定'!$J$12:$J$31,0)),""),""))</f>
        <v/>
      </c>
      <c r="K1152" s="30">
        <f>IF(AND(ISNUMBER(F1152),ISNUMBER(J1152)),ROUND(F1152*J1152,0),IF(ISNUMBER(I1152),I1152,""))</f>
        <v/>
      </c>
      <c r="L1152" s="33" t="n"/>
      <c r="M1152" s="34">
        <f>IF(COUNTA(A1152:B1152,D1152:I1152,L1152)=0,"",IF(B1152="","案件番号がありません",IF(ISNA(MATCH(B1152,'案件'!$A$6:$A$105,0)),"案件シートに無い番号です",IF(NOT(OR(D1152="材料費",D1152="労務費",D1152="外注費",D1152="経費")),"費目を4つから選んでください",IF(K1152="",IF(AND(ISNUMBER(F1152),NOT(ISNUMBER(J1152))),IF(D1152="労務費","単価がありません（設定の作業者名と同じ書き方に）","単価がありません"),IF(AND(ISNUMBER(J1152),NOT(ISNUMBER(F1152))),"数量がありません","金額がありません")),IF(NOT(ISNUMBER(A1152)),"日付がありません（月別集計に入りません）",IF(AND(ISNUMBER(F1152),ISNUMBER(J1152),ISNUMBER(I1152)),"数量×単価を使いました（金額の欄は使っていません）","")))))))</f>
        <v/>
      </c>
      <c r="N1152" s="91">
        <f>IF(AND(B1152&lt;&gt;"",B1152='案件カード'!$C$3),COUNTIF($B$5:B1152,'案件カード'!$C$3),"")</f>
        <v/>
      </c>
      <c r="O1152" s="91">
        <f>IF(ISNUMBER(K1152),IF(B1152="",K1152,IF(AND(ISNUMBER(MATCH(B1152,'案件'!$A$6:$A$105,0)),OR(D1152="材料費",D1152="労務費",D1152="外注費",D1152="経費")),0,K1152)),0)</f>
        <v/>
      </c>
    </row>
    <row r="1153" ht="16" customHeight="1">
      <c r="A1153" s="35" t="n"/>
      <c r="B1153" s="36" t="n"/>
      <c r="C1153" s="37">
        <f>IF(B1153="","",IFERROR(INDEX('案件'!$B$6:$B$105,MATCH(B1153,'案件'!$A$6:$A$105,0))&amp;"","（案件シートに無い番号）"))</f>
        <v/>
      </c>
      <c r="D1153" s="36" t="n"/>
      <c r="E1153" s="38" t="n"/>
      <c r="F1153" s="39" t="n"/>
      <c r="G1153" s="36" t="n"/>
      <c r="H1153" s="40" t="n"/>
      <c r="I1153" s="40" t="n"/>
      <c r="J1153" s="41">
        <f>IF(ISNUMBER(H1153),H1153,IF(AND(D1153="労務費",TRIM(E1153)&lt;&gt;""),IFERROR(INDEX('設定'!$G$12:$G$31,MATCH(TRIM(E1153),'設定'!$J$12:$J$31,0)),""),""))</f>
        <v/>
      </c>
      <c r="K1153" s="30">
        <f>IF(AND(ISNUMBER(F1153),ISNUMBER(J1153)),ROUND(F1153*J1153,0),IF(ISNUMBER(I1153),I1153,""))</f>
        <v/>
      </c>
      <c r="L1153" s="33" t="n"/>
      <c r="M1153" s="34">
        <f>IF(COUNTA(A1153:B1153,D1153:I1153,L1153)=0,"",IF(B1153="","案件番号がありません",IF(ISNA(MATCH(B1153,'案件'!$A$6:$A$105,0)),"案件シートに無い番号です",IF(NOT(OR(D1153="材料費",D1153="労務費",D1153="外注費",D1153="経費")),"費目を4つから選んでください",IF(K1153="",IF(AND(ISNUMBER(F1153),NOT(ISNUMBER(J1153))),IF(D1153="労務費","単価がありません（設定の作業者名と同じ書き方に）","単価がありません"),IF(AND(ISNUMBER(J1153),NOT(ISNUMBER(F1153))),"数量がありません","金額がありません")),IF(NOT(ISNUMBER(A1153)),"日付がありません（月別集計に入りません）",IF(AND(ISNUMBER(F1153),ISNUMBER(J1153),ISNUMBER(I1153)),"数量×単価を使いました（金額の欄は使っていません）","")))))))</f>
        <v/>
      </c>
      <c r="N1153" s="91">
        <f>IF(AND(B1153&lt;&gt;"",B1153='案件カード'!$C$3),COUNTIF($B$5:B1153,'案件カード'!$C$3),"")</f>
        <v/>
      </c>
      <c r="O1153" s="91">
        <f>IF(ISNUMBER(K1153),IF(B1153="",K1153,IF(AND(ISNUMBER(MATCH(B1153,'案件'!$A$6:$A$105,0)),OR(D1153="材料費",D1153="労務費",D1153="外注費",D1153="経費")),0,K1153)),0)</f>
        <v/>
      </c>
    </row>
    <row r="1154" ht="16" customHeight="1">
      <c r="A1154" s="35" t="n"/>
      <c r="B1154" s="36" t="n"/>
      <c r="C1154" s="37">
        <f>IF(B1154="","",IFERROR(INDEX('案件'!$B$6:$B$105,MATCH(B1154,'案件'!$A$6:$A$105,0))&amp;"","（案件シートに無い番号）"))</f>
        <v/>
      </c>
      <c r="D1154" s="36" t="n"/>
      <c r="E1154" s="38" t="n"/>
      <c r="F1154" s="39" t="n"/>
      <c r="G1154" s="36" t="n"/>
      <c r="H1154" s="40" t="n"/>
      <c r="I1154" s="40" t="n"/>
      <c r="J1154" s="41">
        <f>IF(ISNUMBER(H1154),H1154,IF(AND(D1154="労務費",TRIM(E1154)&lt;&gt;""),IFERROR(INDEX('設定'!$G$12:$G$31,MATCH(TRIM(E1154),'設定'!$J$12:$J$31,0)),""),""))</f>
        <v/>
      </c>
      <c r="K1154" s="30">
        <f>IF(AND(ISNUMBER(F1154),ISNUMBER(J1154)),ROUND(F1154*J1154,0),IF(ISNUMBER(I1154),I1154,""))</f>
        <v/>
      </c>
      <c r="L1154" s="33" t="n"/>
      <c r="M1154" s="34">
        <f>IF(COUNTA(A1154:B1154,D1154:I1154,L1154)=0,"",IF(B1154="","案件番号がありません",IF(ISNA(MATCH(B1154,'案件'!$A$6:$A$105,0)),"案件シートに無い番号です",IF(NOT(OR(D1154="材料費",D1154="労務費",D1154="外注費",D1154="経費")),"費目を4つから選んでください",IF(K1154="",IF(AND(ISNUMBER(F1154),NOT(ISNUMBER(J1154))),IF(D1154="労務費","単価がありません（設定の作業者名と同じ書き方に）","単価がありません"),IF(AND(ISNUMBER(J1154),NOT(ISNUMBER(F1154))),"数量がありません","金額がありません")),IF(NOT(ISNUMBER(A1154)),"日付がありません（月別集計に入りません）",IF(AND(ISNUMBER(F1154),ISNUMBER(J1154),ISNUMBER(I1154)),"数量×単価を使いました（金額の欄は使っていません）","")))))))</f>
        <v/>
      </c>
      <c r="N1154" s="91">
        <f>IF(AND(B1154&lt;&gt;"",B1154='案件カード'!$C$3),COUNTIF($B$5:B1154,'案件カード'!$C$3),"")</f>
        <v/>
      </c>
      <c r="O1154" s="91">
        <f>IF(ISNUMBER(K1154),IF(B1154="",K1154,IF(AND(ISNUMBER(MATCH(B1154,'案件'!$A$6:$A$105,0)),OR(D1154="材料費",D1154="労務費",D1154="外注費",D1154="経費")),0,K1154)),0)</f>
        <v/>
      </c>
    </row>
    <row r="1155" ht="16" customHeight="1">
      <c r="A1155" s="35" t="n"/>
      <c r="B1155" s="36" t="n"/>
      <c r="C1155" s="37">
        <f>IF(B1155="","",IFERROR(INDEX('案件'!$B$6:$B$105,MATCH(B1155,'案件'!$A$6:$A$105,0))&amp;"","（案件シートに無い番号）"))</f>
        <v/>
      </c>
      <c r="D1155" s="36" t="n"/>
      <c r="E1155" s="38" t="n"/>
      <c r="F1155" s="39" t="n"/>
      <c r="G1155" s="36" t="n"/>
      <c r="H1155" s="40" t="n"/>
      <c r="I1155" s="40" t="n"/>
      <c r="J1155" s="41">
        <f>IF(ISNUMBER(H1155),H1155,IF(AND(D1155="労務費",TRIM(E1155)&lt;&gt;""),IFERROR(INDEX('設定'!$G$12:$G$31,MATCH(TRIM(E1155),'設定'!$J$12:$J$31,0)),""),""))</f>
        <v/>
      </c>
      <c r="K1155" s="30">
        <f>IF(AND(ISNUMBER(F1155),ISNUMBER(J1155)),ROUND(F1155*J1155,0),IF(ISNUMBER(I1155),I1155,""))</f>
        <v/>
      </c>
      <c r="L1155" s="33" t="n"/>
      <c r="M1155" s="34">
        <f>IF(COUNTA(A1155:B1155,D1155:I1155,L1155)=0,"",IF(B1155="","案件番号がありません",IF(ISNA(MATCH(B1155,'案件'!$A$6:$A$105,0)),"案件シートに無い番号です",IF(NOT(OR(D1155="材料費",D1155="労務費",D1155="外注費",D1155="経費")),"費目を4つから選んでください",IF(K1155="",IF(AND(ISNUMBER(F1155),NOT(ISNUMBER(J1155))),IF(D1155="労務費","単価がありません（設定の作業者名と同じ書き方に）","単価がありません"),IF(AND(ISNUMBER(J1155),NOT(ISNUMBER(F1155))),"数量がありません","金額がありません")),IF(NOT(ISNUMBER(A1155)),"日付がありません（月別集計に入りません）",IF(AND(ISNUMBER(F1155),ISNUMBER(J1155),ISNUMBER(I1155)),"数量×単価を使いました（金額の欄は使っていません）","")))))))</f>
        <v/>
      </c>
      <c r="N1155" s="91">
        <f>IF(AND(B1155&lt;&gt;"",B1155='案件カード'!$C$3),COUNTIF($B$5:B1155,'案件カード'!$C$3),"")</f>
        <v/>
      </c>
      <c r="O1155" s="91">
        <f>IF(ISNUMBER(K1155),IF(B1155="",K1155,IF(AND(ISNUMBER(MATCH(B1155,'案件'!$A$6:$A$105,0)),OR(D1155="材料費",D1155="労務費",D1155="外注費",D1155="経費")),0,K1155)),0)</f>
        <v/>
      </c>
    </row>
    <row r="1156" ht="16" customHeight="1">
      <c r="A1156" s="35" t="n"/>
      <c r="B1156" s="36" t="n"/>
      <c r="C1156" s="37">
        <f>IF(B1156="","",IFERROR(INDEX('案件'!$B$6:$B$105,MATCH(B1156,'案件'!$A$6:$A$105,0))&amp;"","（案件シートに無い番号）"))</f>
        <v/>
      </c>
      <c r="D1156" s="36" t="n"/>
      <c r="E1156" s="38" t="n"/>
      <c r="F1156" s="39" t="n"/>
      <c r="G1156" s="36" t="n"/>
      <c r="H1156" s="40" t="n"/>
      <c r="I1156" s="40" t="n"/>
      <c r="J1156" s="41">
        <f>IF(ISNUMBER(H1156),H1156,IF(AND(D1156="労務費",TRIM(E1156)&lt;&gt;""),IFERROR(INDEX('設定'!$G$12:$G$31,MATCH(TRIM(E1156),'設定'!$J$12:$J$31,0)),""),""))</f>
        <v/>
      </c>
      <c r="K1156" s="30">
        <f>IF(AND(ISNUMBER(F1156),ISNUMBER(J1156)),ROUND(F1156*J1156,0),IF(ISNUMBER(I1156),I1156,""))</f>
        <v/>
      </c>
      <c r="L1156" s="33" t="n"/>
      <c r="M1156" s="34">
        <f>IF(COUNTA(A1156:B1156,D1156:I1156,L1156)=0,"",IF(B1156="","案件番号がありません",IF(ISNA(MATCH(B1156,'案件'!$A$6:$A$105,0)),"案件シートに無い番号です",IF(NOT(OR(D1156="材料費",D1156="労務費",D1156="外注費",D1156="経費")),"費目を4つから選んでください",IF(K1156="",IF(AND(ISNUMBER(F1156),NOT(ISNUMBER(J1156))),IF(D1156="労務費","単価がありません（設定の作業者名と同じ書き方に）","単価がありません"),IF(AND(ISNUMBER(J1156),NOT(ISNUMBER(F1156))),"数量がありません","金額がありません")),IF(NOT(ISNUMBER(A1156)),"日付がありません（月別集計に入りません）",IF(AND(ISNUMBER(F1156),ISNUMBER(J1156),ISNUMBER(I1156)),"数量×単価を使いました（金額の欄は使っていません）","")))))))</f>
        <v/>
      </c>
      <c r="N1156" s="91">
        <f>IF(AND(B1156&lt;&gt;"",B1156='案件カード'!$C$3),COUNTIF($B$5:B1156,'案件カード'!$C$3),"")</f>
        <v/>
      </c>
      <c r="O1156" s="91">
        <f>IF(ISNUMBER(K1156),IF(B1156="",K1156,IF(AND(ISNUMBER(MATCH(B1156,'案件'!$A$6:$A$105,0)),OR(D1156="材料費",D1156="労務費",D1156="外注費",D1156="経費")),0,K1156)),0)</f>
        <v/>
      </c>
    </row>
    <row r="1157" ht="16" customHeight="1">
      <c r="A1157" s="35" t="n"/>
      <c r="B1157" s="36" t="n"/>
      <c r="C1157" s="37">
        <f>IF(B1157="","",IFERROR(INDEX('案件'!$B$6:$B$105,MATCH(B1157,'案件'!$A$6:$A$105,0))&amp;"","（案件シートに無い番号）"))</f>
        <v/>
      </c>
      <c r="D1157" s="36" t="n"/>
      <c r="E1157" s="38" t="n"/>
      <c r="F1157" s="39" t="n"/>
      <c r="G1157" s="36" t="n"/>
      <c r="H1157" s="40" t="n"/>
      <c r="I1157" s="40" t="n"/>
      <c r="J1157" s="41">
        <f>IF(ISNUMBER(H1157),H1157,IF(AND(D1157="労務費",TRIM(E1157)&lt;&gt;""),IFERROR(INDEX('設定'!$G$12:$G$31,MATCH(TRIM(E1157),'設定'!$J$12:$J$31,0)),""),""))</f>
        <v/>
      </c>
      <c r="K1157" s="30">
        <f>IF(AND(ISNUMBER(F1157),ISNUMBER(J1157)),ROUND(F1157*J1157,0),IF(ISNUMBER(I1157),I1157,""))</f>
        <v/>
      </c>
      <c r="L1157" s="33" t="n"/>
      <c r="M1157" s="34">
        <f>IF(COUNTA(A1157:B1157,D1157:I1157,L1157)=0,"",IF(B1157="","案件番号がありません",IF(ISNA(MATCH(B1157,'案件'!$A$6:$A$105,0)),"案件シートに無い番号です",IF(NOT(OR(D1157="材料費",D1157="労務費",D1157="外注費",D1157="経費")),"費目を4つから選んでください",IF(K1157="",IF(AND(ISNUMBER(F1157),NOT(ISNUMBER(J1157))),IF(D1157="労務費","単価がありません（設定の作業者名と同じ書き方に）","単価がありません"),IF(AND(ISNUMBER(J1157),NOT(ISNUMBER(F1157))),"数量がありません","金額がありません")),IF(NOT(ISNUMBER(A1157)),"日付がありません（月別集計に入りません）",IF(AND(ISNUMBER(F1157),ISNUMBER(J1157),ISNUMBER(I1157)),"数量×単価を使いました（金額の欄は使っていません）","")))))))</f>
        <v/>
      </c>
      <c r="N1157" s="91">
        <f>IF(AND(B1157&lt;&gt;"",B1157='案件カード'!$C$3),COUNTIF($B$5:B1157,'案件カード'!$C$3),"")</f>
        <v/>
      </c>
      <c r="O1157" s="91">
        <f>IF(ISNUMBER(K1157),IF(B1157="",K1157,IF(AND(ISNUMBER(MATCH(B1157,'案件'!$A$6:$A$105,0)),OR(D1157="材料費",D1157="労務費",D1157="外注費",D1157="経費")),0,K1157)),0)</f>
        <v/>
      </c>
    </row>
    <row r="1158" ht="16" customHeight="1">
      <c r="A1158" s="35" t="n"/>
      <c r="B1158" s="36" t="n"/>
      <c r="C1158" s="37">
        <f>IF(B1158="","",IFERROR(INDEX('案件'!$B$6:$B$105,MATCH(B1158,'案件'!$A$6:$A$105,0))&amp;"","（案件シートに無い番号）"))</f>
        <v/>
      </c>
      <c r="D1158" s="36" t="n"/>
      <c r="E1158" s="38" t="n"/>
      <c r="F1158" s="39" t="n"/>
      <c r="G1158" s="36" t="n"/>
      <c r="H1158" s="40" t="n"/>
      <c r="I1158" s="40" t="n"/>
      <c r="J1158" s="41">
        <f>IF(ISNUMBER(H1158),H1158,IF(AND(D1158="労務費",TRIM(E1158)&lt;&gt;""),IFERROR(INDEX('設定'!$G$12:$G$31,MATCH(TRIM(E1158),'設定'!$J$12:$J$31,0)),""),""))</f>
        <v/>
      </c>
      <c r="K1158" s="30">
        <f>IF(AND(ISNUMBER(F1158),ISNUMBER(J1158)),ROUND(F1158*J1158,0),IF(ISNUMBER(I1158),I1158,""))</f>
        <v/>
      </c>
      <c r="L1158" s="33" t="n"/>
      <c r="M1158" s="34">
        <f>IF(COUNTA(A1158:B1158,D1158:I1158,L1158)=0,"",IF(B1158="","案件番号がありません",IF(ISNA(MATCH(B1158,'案件'!$A$6:$A$105,0)),"案件シートに無い番号です",IF(NOT(OR(D1158="材料費",D1158="労務費",D1158="外注費",D1158="経費")),"費目を4つから選んでください",IF(K1158="",IF(AND(ISNUMBER(F1158),NOT(ISNUMBER(J1158))),IF(D1158="労務費","単価がありません（設定の作業者名と同じ書き方に）","単価がありません"),IF(AND(ISNUMBER(J1158),NOT(ISNUMBER(F1158))),"数量がありません","金額がありません")),IF(NOT(ISNUMBER(A1158)),"日付がありません（月別集計に入りません）",IF(AND(ISNUMBER(F1158),ISNUMBER(J1158),ISNUMBER(I1158)),"数量×単価を使いました（金額の欄は使っていません）","")))))))</f>
        <v/>
      </c>
      <c r="N1158" s="91">
        <f>IF(AND(B1158&lt;&gt;"",B1158='案件カード'!$C$3),COUNTIF($B$5:B1158,'案件カード'!$C$3),"")</f>
        <v/>
      </c>
      <c r="O1158" s="91">
        <f>IF(ISNUMBER(K1158),IF(B1158="",K1158,IF(AND(ISNUMBER(MATCH(B1158,'案件'!$A$6:$A$105,0)),OR(D1158="材料費",D1158="労務費",D1158="外注費",D1158="経費")),0,K1158)),0)</f>
        <v/>
      </c>
    </row>
    <row r="1159" ht="16" customHeight="1">
      <c r="A1159" s="35" t="n"/>
      <c r="B1159" s="36" t="n"/>
      <c r="C1159" s="37">
        <f>IF(B1159="","",IFERROR(INDEX('案件'!$B$6:$B$105,MATCH(B1159,'案件'!$A$6:$A$105,0))&amp;"","（案件シートに無い番号）"))</f>
        <v/>
      </c>
      <c r="D1159" s="36" t="n"/>
      <c r="E1159" s="38" t="n"/>
      <c r="F1159" s="39" t="n"/>
      <c r="G1159" s="36" t="n"/>
      <c r="H1159" s="40" t="n"/>
      <c r="I1159" s="40" t="n"/>
      <c r="J1159" s="41">
        <f>IF(ISNUMBER(H1159),H1159,IF(AND(D1159="労務費",TRIM(E1159)&lt;&gt;""),IFERROR(INDEX('設定'!$G$12:$G$31,MATCH(TRIM(E1159),'設定'!$J$12:$J$31,0)),""),""))</f>
        <v/>
      </c>
      <c r="K1159" s="30">
        <f>IF(AND(ISNUMBER(F1159),ISNUMBER(J1159)),ROUND(F1159*J1159,0),IF(ISNUMBER(I1159),I1159,""))</f>
        <v/>
      </c>
      <c r="L1159" s="33" t="n"/>
      <c r="M1159" s="34">
        <f>IF(COUNTA(A1159:B1159,D1159:I1159,L1159)=0,"",IF(B1159="","案件番号がありません",IF(ISNA(MATCH(B1159,'案件'!$A$6:$A$105,0)),"案件シートに無い番号です",IF(NOT(OR(D1159="材料費",D1159="労務費",D1159="外注費",D1159="経費")),"費目を4つから選んでください",IF(K1159="",IF(AND(ISNUMBER(F1159),NOT(ISNUMBER(J1159))),IF(D1159="労務費","単価がありません（設定の作業者名と同じ書き方に）","単価がありません"),IF(AND(ISNUMBER(J1159),NOT(ISNUMBER(F1159))),"数量がありません","金額がありません")),IF(NOT(ISNUMBER(A1159)),"日付がありません（月別集計に入りません）",IF(AND(ISNUMBER(F1159),ISNUMBER(J1159),ISNUMBER(I1159)),"数量×単価を使いました（金額の欄は使っていません）","")))))))</f>
        <v/>
      </c>
      <c r="N1159" s="91">
        <f>IF(AND(B1159&lt;&gt;"",B1159='案件カード'!$C$3),COUNTIF($B$5:B1159,'案件カード'!$C$3),"")</f>
        <v/>
      </c>
      <c r="O1159" s="91">
        <f>IF(ISNUMBER(K1159),IF(B1159="",K1159,IF(AND(ISNUMBER(MATCH(B1159,'案件'!$A$6:$A$105,0)),OR(D1159="材料費",D1159="労務費",D1159="外注費",D1159="経費")),0,K1159)),0)</f>
        <v/>
      </c>
    </row>
    <row r="1160" ht="16" customHeight="1">
      <c r="A1160" s="35" t="n"/>
      <c r="B1160" s="36" t="n"/>
      <c r="C1160" s="37">
        <f>IF(B1160="","",IFERROR(INDEX('案件'!$B$6:$B$105,MATCH(B1160,'案件'!$A$6:$A$105,0))&amp;"","（案件シートに無い番号）"))</f>
        <v/>
      </c>
      <c r="D1160" s="36" t="n"/>
      <c r="E1160" s="38" t="n"/>
      <c r="F1160" s="39" t="n"/>
      <c r="G1160" s="36" t="n"/>
      <c r="H1160" s="40" t="n"/>
      <c r="I1160" s="40" t="n"/>
      <c r="J1160" s="41">
        <f>IF(ISNUMBER(H1160),H1160,IF(AND(D1160="労務費",TRIM(E1160)&lt;&gt;""),IFERROR(INDEX('設定'!$G$12:$G$31,MATCH(TRIM(E1160),'設定'!$J$12:$J$31,0)),""),""))</f>
        <v/>
      </c>
      <c r="K1160" s="30">
        <f>IF(AND(ISNUMBER(F1160),ISNUMBER(J1160)),ROUND(F1160*J1160,0),IF(ISNUMBER(I1160),I1160,""))</f>
        <v/>
      </c>
      <c r="L1160" s="33" t="n"/>
      <c r="M1160" s="34">
        <f>IF(COUNTA(A1160:B1160,D1160:I1160,L1160)=0,"",IF(B1160="","案件番号がありません",IF(ISNA(MATCH(B1160,'案件'!$A$6:$A$105,0)),"案件シートに無い番号です",IF(NOT(OR(D1160="材料費",D1160="労務費",D1160="外注費",D1160="経費")),"費目を4つから選んでください",IF(K1160="",IF(AND(ISNUMBER(F1160),NOT(ISNUMBER(J1160))),IF(D1160="労務費","単価がありません（設定の作業者名と同じ書き方に）","単価がありません"),IF(AND(ISNUMBER(J1160),NOT(ISNUMBER(F1160))),"数量がありません","金額がありません")),IF(NOT(ISNUMBER(A1160)),"日付がありません（月別集計に入りません）",IF(AND(ISNUMBER(F1160),ISNUMBER(J1160),ISNUMBER(I1160)),"数量×単価を使いました（金額の欄は使っていません）","")))))))</f>
        <v/>
      </c>
      <c r="N1160" s="91">
        <f>IF(AND(B1160&lt;&gt;"",B1160='案件カード'!$C$3),COUNTIF($B$5:B1160,'案件カード'!$C$3),"")</f>
        <v/>
      </c>
      <c r="O1160" s="91">
        <f>IF(ISNUMBER(K1160),IF(B1160="",K1160,IF(AND(ISNUMBER(MATCH(B1160,'案件'!$A$6:$A$105,0)),OR(D1160="材料費",D1160="労務費",D1160="外注費",D1160="経費")),0,K1160)),0)</f>
        <v/>
      </c>
    </row>
    <row r="1161" ht="16" customHeight="1">
      <c r="A1161" s="35" t="n"/>
      <c r="B1161" s="36" t="n"/>
      <c r="C1161" s="37">
        <f>IF(B1161="","",IFERROR(INDEX('案件'!$B$6:$B$105,MATCH(B1161,'案件'!$A$6:$A$105,0))&amp;"","（案件シートに無い番号）"))</f>
        <v/>
      </c>
      <c r="D1161" s="36" t="n"/>
      <c r="E1161" s="38" t="n"/>
      <c r="F1161" s="39" t="n"/>
      <c r="G1161" s="36" t="n"/>
      <c r="H1161" s="40" t="n"/>
      <c r="I1161" s="40" t="n"/>
      <c r="J1161" s="41">
        <f>IF(ISNUMBER(H1161),H1161,IF(AND(D1161="労務費",TRIM(E1161)&lt;&gt;""),IFERROR(INDEX('設定'!$G$12:$G$31,MATCH(TRIM(E1161),'設定'!$J$12:$J$31,0)),""),""))</f>
        <v/>
      </c>
      <c r="K1161" s="30">
        <f>IF(AND(ISNUMBER(F1161),ISNUMBER(J1161)),ROUND(F1161*J1161,0),IF(ISNUMBER(I1161),I1161,""))</f>
        <v/>
      </c>
      <c r="L1161" s="33" t="n"/>
      <c r="M1161" s="34">
        <f>IF(COUNTA(A1161:B1161,D1161:I1161,L1161)=0,"",IF(B1161="","案件番号がありません",IF(ISNA(MATCH(B1161,'案件'!$A$6:$A$105,0)),"案件シートに無い番号です",IF(NOT(OR(D1161="材料費",D1161="労務費",D1161="外注費",D1161="経費")),"費目を4つから選んでください",IF(K1161="",IF(AND(ISNUMBER(F1161),NOT(ISNUMBER(J1161))),IF(D1161="労務費","単価がありません（設定の作業者名と同じ書き方に）","単価がありません"),IF(AND(ISNUMBER(J1161),NOT(ISNUMBER(F1161))),"数量がありません","金額がありません")),IF(NOT(ISNUMBER(A1161)),"日付がありません（月別集計に入りません）",IF(AND(ISNUMBER(F1161),ISNUMBER(J1161),ISNUMBER(I1161)),"数量×単価を使いました（金額の欄は使っていません）","")))))))</f>
        <v/>
      </c>
      <c r="N1161" s="91">
        <f>IF(AND(B1161&lt;&gt;"",B1161='案件カード'!$C$3),COUNTIF($B$5:B1161,'案件カード'!$C$3),"")</f>
        <v/>
      </c>
      <c r="O1161" s="91">
        <f>IF(ISNUMBER(K1161),IF(B1161="",K1161,IF(AND(ISNUMBER(MATCH(B1161,'案件'!$A$6:$A$105,0)),OR(D1161="材料費",D1161="労務費",D1161="外注費",D1161="経費")),0,K1161)),0)</f>
        <v/>
      </c>
    </row>
    <row r="1162" ht="16" customHeight="1">
      <c r="A1162" s="35" t="n"/>
      <c r="B1162" s="36" t="n"/>
      <c r="C1162" s="37">
        <f>IF(B1162="","",IFERROR(INDEX('案件'!$B$6:$B$105,MATCH(B1162,'案件'!$A$6:$A$105,0))&amp;"","（案件シートに無い番号）"))</f>
        <v/>
      </c>
      <c r="D1162" s="36" t="n"/>
      <c r="E1162" s="38" t="n"/>
      <c r="F1162" s="39" t="n"/>
      <c r="G1162" s="36" t="n"/>
      <c r="H1162" s="40" t="n"/>
      <c r="I1162" s="40" t="n"/>
      <c r="J1162" s="41">
        <f>IF(ISNUMBER(H1162),H1162,IF(AND(D1162="労務費",TRIM(E1162)&lt;&gt;""),IFERROR(INDEX('設定'!$G$12:$G$31,MATCH(TRIM(E1162),'設定'!$J$12:$J$31,0)),""),""))</f>
        <v/>
      </c>
      <c r="K1162" s="30">
        <f>IF(AND(ISNUMBER(F1162),ISNUMBER(J1162)),ROUND(F1162*J1162,0),IF(ISNUMBER(I1162),I1162,""))</f>
        <v/>
      </c>
      <c r="L1162" s="33" t="n"/>
      <c r="M1162" s="34">
        <f>IF(COUNTA(A1162:B1162,D1162:I1162,L1162)=0,"",IF(B1162="","案件番号がありません",IF(ISNA(MATCH(B1162,'案件'!$A$6:$A$105,0)),"案件シートに無い番号です",IF(NOT(OR(D1162="材料費",D1162="労務費",D1162="外注費",D1162="経費")),"費目を4つから選んでください",IF(K1162="",IF(AND(ISNUMBER(F1162),NOT(ISNUMBER(J1162))),IF(D1162="労務費","単価がありません（設定の作業者名と同じ書き方に）","単価がありません"),IF(AND(ISNUMBER(J1162),NOT(ISNUMBER(F1162))),"数量がありません","金額がありません")),IF(NOT(ISNUMBER(A1162)),"日付がありません（月別集計に入りません）",IF(AND(ISNUMBER(F1162),ISNUMBER(J1162),ISNUMBER(I1162)),"数量×単価を使いました（金額の欄は使っていません）","")))))))</f>
        <v/>
      </c>
      <c r="N1162" s="91">
        <f>IF(AND(B1162&lt;&gt;"",B1162='案件カード'!$C$3),COUNTIF($B$5:B1162,'案件カード'!$C$3),"")</f>
        <v/>
      </c>
      <c r="O1162" s="91">
        <f>IF(ISNUMBER(K1162),IF(B1162="",K1162,IF(AND(ISNUMBER(MATCH(B1162,'案件'!$A$6:$A$105,0)),OR(D1162="材料費",D1162="労務費",D1162="外注費",D1162="経費")),0,K1162)),0)</f>
        <v/>
      </c>
    </row>
    <row r="1163" ht="16" customHeight="1">
      <c r="A1163" s="35" t="n"/>
      <c r="B1163" s="36" t="n"/>
      <c r="C1163" s="37">
        <f>IF(B1163="","",IFERROR(INDEX('案件'!$B$6:$B$105,MATCH(B1163,'案件'!$A$6:$A$105,0))&amp;"","（案件シートに無い番号）"))</f>
        <v/>
      </c>
      <c r="D1163" s="36" t="n"/>
      <c r="E1163" s="38" t="n"/>
      <c r="F1163" s="39" t="n"/>
      <c r="G1163" s="36" t="n"/>
      <c r="H1163" s="40" t="n"/>
      <c r="I1163" s="40" t="n"/>
      <c r="J1163" s="41">
        <f>IF(ISNUMBER(H1163),H1163,IF(AND(D1163="労務費",TRIM(E1163)&lt;&gt;""),IFERROR(INDEX('設定'!$G$12:$G$31,MATCH(TRIM(E1163),'設定'!$J$12:$J$31,0)),""),""))</f>
        <v/>
      </c>
      <c r="K1163" s="30">
        <f>IF(AND(ISNUMBER(F1163),ISNUMBER(J1163)),ROUND(F1163*J1163,0),IF(ISNUMBER(I1163),I1163,""))</f>
        <v/>
      </c>
      <c r="L1163" s="33" t="n"/>
      <c r="M1163" s="34">
        <f>IF(COUNTA(A1163:B1163,D1163:I1163,L1163)=0,"",IF(B1163="","案件番号がありません",IF(ISNA(MATCH(B1163,'案件'!$A$6:$A$105,0)),"案件シートに無い番号です",IF(NOT(OR(D1163="材料費",D1163="労務費",D1163="外注費",D1163="経費")),"費目を4つから選んでください",IF(K1163="",IF(AND(ISNUMBER(F1163),NOT(ISNUMBER(J1163))),IF(D1163="労務費","単価がありません（設定の作業者名と同じ書き方に）","単価がありません"),IF(AND(ISNUMBER(J1163),NOT(ISNUMBER(F1163))),"数量がありません","金額がありません")),IF(NOT(ISNUMBER(A1163)),"日付がありません（月別集計に入りません）",IF(AND(ISNUMBER(F1163),ISNUMBER(J1163),ISNUMBER(I1163)),"数量×単価を使いました（金額の欄は使っていません）","")))))))</f>
        <v/>
      </c>
      <c r="N1163" s="91">
        <f>IF(AND(B1163&lt;&gt;"",B1163='案件カード'!$C$3),COUNTIF($B$5:B1163,'案件カード'!$C$3),"")</f>
        <v/>
      </c>
      <c r="O1163" s="91">
        <f>IF(ISNUMBER(K1163),IF(B1163="",K1163,IF(AND(ISNUMBER(MATCH(B1163,'案件'!$A$6:$A$105,0)),OR(D1163="材料費",D1163="労務費",D1163="外注費",D1163="経費")),0,K1163)),0)</f>
        <v/>
      </c>
    </row>
    <row r="1164" ht="16" customHeight="1">
      <c r="A1164" s="35" t="n"/>
      <c r="B1164" s="36" t="n"/>
      <c r="C1164" s="37">
        <f>IF(B1164="","",IFERROR(INDEX('案件'!$B$6:$B$105,MATCH(B1164,'案件'!$A$6:$A$105,0))&amp;"","（案件シートに無い番号）"))</f>
        <v/>
      </c>
      <c r="D1164" s="36" t="n"/>
      <c r="E1164" s="38" t="n"/>
      <c r="F1164" s="39" t="n"/>
      <c r="G1164" s="36" t="n"/>
      <c r="H1164" s="40" t="n"/>
      <c r="I1164" s="40" t="n"/>
      <c r="J1164" s="41">
        <f>IF(ISNUMBER(H1164),H1164,IF(AND(D1164="労務費",TRIM(E1164)&lt;&gt;""),IFERROR(INDEX('設定'!$G$12:$G$31,MATCH(TRIM(E1164),'設定'!$J$12:$J$31,0)),""),""))</f>
        <v/>
      </c>
      <c r="K1164" s="30">
        <f>IF(AND(ISNUMBER(F1164),ISNUMBER(J1164)),ROUND(F1164*J1164,0),IF(ISNUMBER(I1164),I1164,""))</f>
        <v/>
      </c>
      <c r="L1164" s="33" t="n"/>
      <c r="M1164" s="34">
        <f>IF(COUNTA(A1164:B1164,D1164:I1164,L1164)=0,"",IF(B1164="","案件番号がありません",IF(ISNA(MATCH(B1164,'案件'!$A$6:$A$105,0)),"案件シートに無い番号です",IF(NOT(OR(D1164="材料費",D1164="労務費",D1164="外注費",D1164="経費")),"費目を4つから選んでください",IF(K1164="",IF(AND(ISNUMBER(F1164),NOT(ISNUMBER(J1164))),IF(D1164="労務費","単価がありません（設定の作業者名と同じ書き方に）","単価がありません"),IF(AND(ISNUMBER(J1164),NOT(ISNUMBER(F1164))),"数量がありません","金額がありません")),IF(NOT(ISNUMBER(A1164)),"日付がありません（月別集計に入りません）",IF(AND(ISNUMBER(F1164),ISNUMBER(J1164),ISNUMBER(I1164)),"数量×単価を使いました（金額の欄は使っていません）","")))))))</f>
        <v/>
      </c>
      <c r="N1164" s="91">
        <f>IF(AND(B1164&lt;&gt;"",B1164='案件カード'!$C$3),COUNTIF($B$5:B1164,'案件カード'!$C$3),"")</f>
        <v/>
      </c>
      <c r="O1164" s="91">
        <f>IF(ISNUMBER(K1164),IF(B1164="",K1164,IF(AND(ISNUMBER(MATCH(B1164,'案件'!$A$6:$A$105,0)),OR(D1164="材料費",D1164="労務費",D1164="外注費",D1164="経費")),0,K1164)),0)</f>
        <v/>
      </c>
    </row>
    <row r="1165" ht="16" customHeight="1">
      <c r="A1165" s="35" t="n"/>
      <c r="B1165" s="36" t="n"/>
      <c r="C1165" s="37">
        <f>IF(B1165="","",IFERROR(INDEX('案件'!$B$6:$B$105,MATCH(B1165,'案件'!$A$6:$A$105,0))&amp;"","（案件シートに無い番号）"))</f>
        <v/>
      </c>
      <c r="D1165" s="36" t="n"/>
      <c r="E1165" s="38" t="n"/>
      <c r="F1165" s="39" t="n"/>
      <c r="G1165" s="36" t="n"/>
      <c r="H1165" s="40" t="n"/>
      <c r="I1165" s="40" t="n"/>
      <c r="J1165" s="41">
        <f>IF(ISNUMBER(H1165),H1165,IF(AND(D1165="労務費",TRIM(E1165)&lt;&gt;""),IFERROR(INDEX('設定'!$G$12:$G$31,MATCH(TRIM(E1165),'設定'!$J$12:$J$31,0)),""),""))</f>
        <v/>
      </c>
      <c r="K1165" s="30">
        <f>IF(AND(ISNUMBER(F1165),ISNUMBER(J1165)),ROUND(F1165*J1165,0),IF(ISNUMBER(I1165),I1165,""))</f>
        <v/>
      </c>
      <c r="L1165" s="33" t="n"/>
      <c r="M1165" s="34">
        <f>IF(COUNTA(A1165:B1165,D1165:I1165,L1165)=0,"",IF(B1165="","案件番号がありません",IF(ISNA(MATCH(B1165,'案件'!$A$6:$A$105,0)),"案件シートに無い番号です",IF(NOT(OR(D1165="材料費",D1165="労務費",D1165="外注費",D1165="経費")),"費目を4つから選んでください",IF(K1165="",IF(AND(ISNUMBER(F1165),NOT(ISNUMBER(J1165))),IF(D1165="労務費","単価がありません（設定の作業者名と同じ書き方に）","単価がありません"),IF(AND(ISNUMBER(J1165),NOT(ISNUMBER(F1165))),"数量がありません","金額がありません")),IF(NOT(ISNUMBER(A1165)),"日付がありません（月別集計に入りません）",IF(AND(ISNUMBER(F1165),ISNUMBER(J1165),ISNUMBER(I1165)),"数量×単価を使いました（金額の欄は使っていません）","")))))))</f>
        <v/>
      </c>
      <c r="N1165" s="91">
        <f>IF(AND(B1165&lt;&gt;"",B1165='案件カード'!$C$3),COUNTIF($B$5:B1165,'案件カード'!$C$3),"")</f>
        <v/>
      </c>
      <c r="O1165" s="91">
        <f>IF(ISNUMBER(K1165),IF(B1165="",K1165,IF(AND(ISNUMBER(MATCH(B1165,'案件'!$A$6:$A$105,0)),OR(D1165="材料費",D1165="労務費",D1165="外注費",D1165="経費")),0,K1165)),0)</f>
        <v/>
      </c>
    </row>
    <row r="1166" ht="16" customHeight="1">
      <c r="A1166" s="35" t="n"/>
      <c r="B1166" s="36" t="n"/>
      <c r="C1166" s="37">
        <f>IF(B1166="","",IFERROR(INDEX('案件'!$B$6:$B$105,MATCH(B1166,'案件'!$A$6:$A$105,0))&amp;"","（案件シートに無い番号）"))</f>
        <v/>
      </c>
      <c r="D1166" s="36" t="n"/>
      <c r="E1166" s="38" t="n"/>
      <c r="F1166" s="39" t="n"/>
      <c r="G1166" s="36" t="n"/>
      <c r="H1166" s="40" t="n"/>
      <c r="I1166" s="40" t="n"/>
      <c r="J1166" s="41">
        <f>IF(ISNUMBER(H1166),H1166,IF(AND(D1166="労務費",TRIM(E1166)&lt;&gt;""),IFERROR(INDEX('設定'!$G$12:$G$31,MATCH(TRIM(E1166),'設定'!$J$12:$J$31,0)),""),""))</f>
        <v/>
      </c>
      <c r="K1166" s="30">
        <f>IF(AND(ISNUMBER(F1166),ISNUMBER(J1166)),ROUND(F1166*J1166,0),IF(ISNUMBER(I1166),I1166,""))</f>
        <v/>
      </c>
      <c r="L1166" s="33" t="n"/>
      <c r="M1166" s="34">
        <f>IF(COUNTA(A1166:B1166,D1166:I1166,L1166)=0,"",IF(B1166="","案件番号がありません",IF(ISNA(MATCH(B1166,'案件'!$A$6:$A$105,0)),"案件シートに無い番号です",IF(NOT(OR(D1166="材料費",D1166="労務費",D1166="外注費",D1166="経費")),"費目を4つから選んでください",IF(K1166="",IF(AND(ISNUMBER(F1166),NOT(ISNUMBER(J1166))),IF(D1166="労務費","単価がありません（設定の作業者名と同じ書き方に）","単価がありません"),IF(AND(ISNUMBER(J1166),NOT(ISNUMBER(F1166))),"数量がありません","金額がありません")),IF(NOT(ISNUMBER(A1166)),"日付がありません（月別集計に入りません）",IF(AND(ISNUMBER(F1166),ISNUMBER(J1166),ISNUMBER(I1166)),"数量×単価を使いました（金額の欄は使っていません）","")))))))</f>
        <v/>
      </c>
      <c r="N1166" s="91">
        <f>IF(AND(B1166&lt;&gt;"",B1166='案件カード'!$C$3),COUNTIF($B$5:B1166,'案件カード'!$C$3),"")</f>
        <v/>
      </c>
      <c r="O1166" s="91">
        <f>IF(ISNUMBER(K1166),IF(B1166="",K1166,IF(AND(ISNUMBER(MATCH(B1166,'案件'!$A$6:$A$105,0)),OR(D1166="材料費",D1166="労務費",D1166="外注費",D1166="経費")),0,K1166)),0)</f>
        <v/>
      </c>
    </row>
    <row r="1167" ht="16" customHeight="1">
      <c r="A1167" s="35" t="n"/>
      <c r="B1167" s="36" t="n"/>
      <c r="C1167" s="37">
        <f>IF(B1167="","",IFERROR(INDEX('案件'!$B$6:$B$105,MATCH(B1167,'案件'!$A$6:$A$105,0))&amp;"","（案件シートに無い番号）"))</f>
        <v/>
      </c>
      <c r="D1167" s="36" t="n"/>
      <c r="E1167" s="38" t="n"/>
      <c r="F1167" s="39" t="n"/>
      <c r="G1167" s="36" t="n"/>
      <c r="H1167" s="40" t="n"/>
      <c r="I1167" s="40" t="n"/>
      <c r="J1167" s="41">
        <f>IF(ISNUMBER(H1167),H1167,IF(AND(D1167="労務費",TRIM(E1167)&lt;&gt;""),IFERROR(INDEX('設定'!$G$12:$G$31,MATCH(TRIM(E1167),'設定'!$J$12:$J$31,0)),""),""))</f>
        <v/>
      </c>
      <c r="K1167" s="30">
        <f>IF(AND(ISNUMBER(F1167),ISNUMBER(J1167)),ROUND(F1167*J1167,0),IF(ISNUMBER(I1167),I1167,""))</f>
        <v/>
      </c>
      <c r="L1167" s="33" t="n"/>
      <c r="M1167" s="34">
        <f>IF(COUNTA(A1167:B1167,D1167:I1167,L1167)=0,"",IF(B1167="","案件番号がありません",IF(ISNA(MATCH(B1167,'案件'!$A$6:$A$105,0)),"案件シートに無い番号です",IF(NOT(OR(D1167="材料費",D1167="労務費",D1167="外注費",D1167="経費")),"費目を4つから選んでください",IF(K1167="",IF(AND(ISNUMBER(F1167),NOT(ISNUMBER(J1167))),IF(D1167="労務費","単価がありません（設定の作業者名と同じ書き方に）","単価がありません"),IF(AND(ISNUMBER(J1167),NOT(ISNUMBER(F1167))),"数量がありません","金額がありません")),IF(NOT(ISNUMBER(A1167)),"日付がありません（月別集計に入りません）",IF(AND(ISNUMBER(F1167),ISNUMBER(J1167),ISNUMBER(I1167)),"数量×単価を使いました（金額の欄は使っていません）","")))))))</f>
        <v/>
      </c>
      <c r="N1167" s="91">
        <f>IF(AND(B1167&lt;&gt;"",B1167='案件カード'!$C$3),COUNTIF($B$5:B1167,'案件カード'!$C$3),"")</f>
        <v/>
      </c>
      <c r="O1167" s="91">
        <f>IF(ISNUMBER(K1167),IF(B1167="",K1167,IF(AND(ISNUMBER(MATCH(B1167,'案件'!$A$6:$A$105,0)),OR(D1167="材料費",D1167="労務費",D1167="外注費",D1167="経費")),0,K1167)),0)</f>
        <v/>
      </c>
    </row>
    <row r="1168" ht="16" customHeight="1">
      <c r="A1168" s="35" t="n"/>
      <c r="B1168" s="36" t="n"/>
      <c r="C1168" s="37">
        <f>IF(B1168="","",IFERROR(INDEX('案件'!$B$6:$B$105,MATCH(B1168,'案件'!$A$6:$A$105,0))&amp;"","（案件シートに無い番号）"))</f>
        <v/>
      </c>
      <c r="D1168" s="36" t="n"/>
      <c r="E1168" s="38" t="n"/>
      <c r="F1168" s="39" t="n"/>
      <c r="G1168" s="36" t="n"/>
      <c r="H1168" s="40" t="n"/>
      <c r="I1168" s="40" t="n"/>
      <c r="J1168" s="41">
        <f>IF(ISNUMBER(H1168),H1168,IF(AND(D1168="労務費",TRIM(E1168)&lt;&gt;""),IFERROR(INDEX('設定'!$G$12:$G$31,MATCH(TRIM(E1168),'設定'!$J$12:$J$31,0)),""),""))</f>
        <v/>
      </c>
      <c r="K1168" s="30">
        <f>IF(AND(ISNUMBER(F1168),ISNUMBER(J1168)),ROUND(F1168*J1168,0),IF(ISNUMBER(I1168),I1168,""))</f>
        <v/>
      </c>
      <c r="L1168" s="33" t="n"/>
      <c r="M1168" s="34">
        <f>IF(COUNTA(A1168:B1168,D1168:I1168,L1168)=0,"",IF(B1168="","案件番号がありません",IF(ISNA(MATCH(B1168,'案件'!$A$6:$A$105,0)),"案件シートに無い番号です",IF(NOT(OR(D1168="材料費",D1168="労務費",D1168="外注費",D1168="経費")),"費目を4つから選んでください",IF(K1168="",IF(AND(ISNUMBER(F1168),NOT(ISNUMBER(J1168))),IF(D1168="労務費","単価がありません（設定の作業者名と同じ書き方に）","単価がありません"),IF(AND(ISNUMBER(J1168),NOT(ISNUMBER(F1168))),"数量がありません","金額がありません")),IF(NOT(ISNUMBER(A1168)),"日付がありません（月別集計に入りません）",IF(AND(ISNUMBER(F1168),ISNUMBER(J1168),ISNUMBER(I1168)),"数量×単価を使いました（金額の欄は使っていません）","")))))))</f>
        <v/>
      </c>
      <c r="N1168" s="91">
        <f>IF(AND(B1168&lt;&gt;"",B1168='案件カード'!$C$3),COUNTIF($B$5:B1168,'案件カード'!$C$3),"")</f>
        <v/>
      </c>
      <c r="O1168" s="91">
        <f>IF(ISNUMBER(K1168),IF(B1168="",K1168,IF(AND(ISNUMBER(MATCH(B1168,'案件'!$A$6:$A$105,0)),OR(D1168="材料費",D1168="労務費",D1168="外注費",D1168="経費")),0,K1168)),0)</f>
        <v/>
      </c>
    </row>
    <row r="1169" ht="16" customHeight="1">
      <c r="A1169" s="35" t="n"/>
      <c r="B1169" s="36" t="n"/>
      <c r="C1169" s="37">
        <f>IF(B1169="","",IFERROR(INDEX('案件'!$B$6:$B$105,MATCH(B1169,'案件'!$A$6:$A$105,0))&amp;"","（案件シートに無い番号）"))</f>
        <v/>
      </c>
      <c r="D1169" s="36" t="n"/>
      <c r="E1169" s="38" t="n"/>
      <c r="F1169" s="39" t="n"/>
      <c r="G1169" s="36" t="n"/>
      <c r="H1169" s="40" t="n"/>
      <c r="I1169" s="40" t="n"/>
      <c r="J1169" s="41">
        <f>IF(ISNUMBER(H1169),H1169,IF(AND(D1169="労務費",TRIM(E1169)&lt;&gt;""),IFERROR(INDEX('設定'!$G$12:$G$31,MATCH(TRIM(E1169),'設定'!$J$12:$J$31,0)),""),""))</f>
        <v/>
      </c>
      <c r="K1169" s="30">
        <f>IF(AND(ISNUMBER(F1169),ISNUMBER(J1169)),ROUND(F1169*J1169,0),IF(ISNUMBER(I1169),I1169,""))</f>
        <v/>
      </c>
      <c r="L1169" s="33" t="n"/>
      <c r="M1169" s="34">
        <f>IF(COUNTA(A1169:B1169,D1169:I1169,L1169)=0,"",IF(B1169="","案件番号がありません",IF(ISNA(MATCH(B1169,'案件'!$A$6:$A$105,0)),"案件シートに無い番号です",IF(NOT(OR(D1169="材料費",D1169="労務費",D1169="外注費",D1169="経費")),"費目を4つから選んでください",IF(K1169="",IF(AND(ISNUMBER(F1169),NOT(ISNUMBER(J1169))),IF(D1169="労務費","単価がありません（設定の作業者名と同じ書き方に）","単価がありません"),IF(AND(ISNUMBER(J1169),NOT(ISNUMBER(F1169))),"数量がありません","金額がありません")),IF(NOT(ISNUMBER(A1169)),"日付がありません（月別集計に入りません）",IF(AND(ISNUMBER(F1169),ISNUMBER(J1169),ISNUMBER(I1169)),"数量×単価を使いました（金額の欄は使っていません）","")))))))</f>
        <v/>
      </c>
      <c r="N1169" s="91">
        <f>IF(AND(B1169&lt;&gt;"",B1169='案件カード'!$C$3),COUNTIF($B$5:B1169,'案件カード'!$C$3),"")</f>
        <v/>
      </c>
      <c r="O1169" s="91">
        <f>IF(ISNUMBER(K1169),IF(B1169="",K1169,IF(AND(ISNUMBER(MATCH(B1169,'案件'!$A$6:$A$105,0)),OR(D1169="材料費",D1169="労務費",D1169="外注費",D1169="経費")),0,K1169)),0)</f>
        <v/>
      </c>
    </row>
    <row r="1170" ht="16" customHeight="1">
      <c r="A1170" s="35" t="n"/>
      <c r="B1170" s="36" t="n"/>
      <c r="C1170" s="37">
        <f>IF(B1170="","",IFERROR(INDEX('案件'!$B$6:$B$105,MATCH(B1170,'案件'!$A$6:$A$105,0))&amp;"","（案件シートに無い番号）"))</f>
        <v/>
      </c>
      <c r="D1170" s="36" t="n"/>
      <c r="E1170" s="38" t="n"/>
      <c r="F1170" s="39" t="n"/>
      <c r="G1170" s="36" t="n"/>
      <c r="H1170" s="40" t="n"/>
      <c r="I1170" s="40" t="n"/>
      <c r="J1170" s="41">
        <f>IF(ISNUMBER(H1170),H1170,IF(AND(D1170="労務費",TRIM(E1170)&lt;&gt;""),IFERROR(INDEX('設定'!$G$12:$G$31,MATCH(TRIM(E1170),'設定'!$J$12:$J$31,0)),""),""))</f>
        <v/>
      </c>
      <c r="K1170" s="30">
        <f>IF(AND(ISNUMBER(F1170),ISNUMBER(J1170)),ROUND(F1170*J1170,0),IF(ISNUMBER(I1170),I1170,""))</f>
        <v/>
      </c>
      <c r="L1170" s="33" t="n"/>
      <c r="M1170" s="34">
        <f>IF(COUNTA(A1170:B1170,D1170:I1170,L1170)=0,"",IF(B1170="","案件番号がありません",IF(ISNA(MATCH(B1170,'案件'!$A$6:$A$105,0)),"案件シートに無い番号です",IF(NOT(OR(D1170="材料費",D1170="労務費",D1170="外注費",D1170="経費")),"費目を4つから選んでください",IF(K1170="",IF(AND(ISNUMBER(F1170),NOT(ISNUMBER(J1170))),IF(D1170="労務費","単価がありません（設定の作業者名と同じ書き方に）","単価がありません"),IF(AND(ISNUMBER(J1170),NOT(ISNUMBER(F1170))),"数量がありません","金額がありません")),IF(NOT(ISNUMBER(A1170)),"日付がありません（月別集計に入りません）",IF(AND(ISNUMBER(F1170),ISNUMBER(J1170),ISNUMBER(I1170)),"数量×単価を使いました（金額の欄は使っていません）","")))))))</f>
        <v/>
      </c>
      <c r="N1170" s="91">
        <f>IF(AND(B1170&lt;&gt;"",B1170='案件カード'!$C$3),COUNTIF($B$5:B1170,'案件カード'!$C$3),"")</f>
        <v/>
      </c>
      <c r="O1170" s="91">
        <f>IF(ISNUMBER(K1170),IF(B1170="",K1170,IF(AND(ISNUMBER(MATCH(B1170,'案件'!$A$6:$A$105,0)),OR(D1170="材料費",D1170="労務費",D1170="外注費",D1170="経費")),0,K1170)),0)</f>
        <v/>
      </c>
    </row>
    <row r="1171" ht="16" customHeight="1">
      <c r="A1171" s="35" t="n"/>
      <c r="B1171" s="36" t="n"/>
      <c r="C1171" s="37">
        <f>IF(B1171="","",IFERROR(INDEX('案件'!$B$6:$B$105,MATCH(B1171,'案件'!$A$6:$A$105,0))&amp;"","（案件シートに無い番号）"))</f>
        <v/>
      </c>
      <c r="D1171" s="36" t="n"/>
      <c r="E1171" s="38" t="n"/>
      <c r="F1171" s="39" t="n"/>
      <c r="G1171" s="36" t="n"/>
      <c r="H1171" s="40" t="n"/>
      <c r="I1171" s="40" t="n"/>
      <c r="J1171" s="41">
        <f>IF(ISNUMBER(H1171),H1171,IF(AND(D1171="労務費",TRIM(E1171)&lt;&gt;""),IFERROR(INDEX('設定'!$G$12:$G$31,MATCH(TRIM(E1171),'設定'!$J$12:$J$31,0)),""),""))</f>
        <v/>
      </c>
      <c r="K1171" s="30">
        <f>IF(AND(ISNUMBER(F1171),ISNUMBER(J1171)),ROUND(F1171*J1171,0),IF(ISNUMBER(I1171),I1171,""))</f>
        <v/>
      </c>
      <c r="L1171" s="33" t="n"/>
      <c r="M1171" s="34">
        <f>IF(COUNTA(A1171:B1171,D1171:I1171,L1171)=0,"",IF(B1171="","案件番号がありません",IF(ISNA(MATCH(B1171,'案件'!$A$6:$A$105,0)),"案件シートに無い番号です",IF(NOT(OR(D1171="材料費",D1171="労務費",D1171="外注費",D1171="経費")),"費目を4つから選んでください",IF(K1171="",IF(AND(ISNUMBER(F1171),NOT(ISNUMBER(J1171))),IF(D1171="労務費","単価がありません（設定の作業者名と同じ書き方に）","単価がありません"),IF(AND(ISNUMBER(J1171),NOT(ISNUMBER(F1171))),"数量がありません","金額がありません")),IF(NOT(ISNUMBER(A1171)),"日付がありません（月別集計に入りません）",IF(AND(ISNUMBER(F1171),ISNUMBER(J1171),ISNUMBER(I1171)),"数量×単価を使いました（金額の欄は使っていません）","")))))))</f>
        <v/>
      </c>
      <c r="N1171" s="91">
        <f>IF(AND(B1171&lt;&gt;"",B1171='案件カード'!$C$3),COUNTIF($B$5:B1171,'案件カード'!$C$3),"")</f>
        <v/>
      </c>
      <c r="O1171" s="91">
        <f>IF(ISNUMBER(K1171),IF(B1171="",K1171,IF(AND(ISNUMBER(MATCH(B1171,'案件'!$A$6:$A$105,0)),OR(D1171="材料費",D1171="労務費",D1171="外注費",D1171="経費")),0,K1171)),0)</f>
        <v/>
      </c>
    </row>
    <row r="1172" ht="16" customHeight="1">
      <c r="A1172" s="35" t="n"/>
      <c r="B1172" s="36" t="n"/>
      <c r="C1172" s="37">
        <f>IF(B1172="","",IFERROR(INDEX('案件'!$B$6:$B$105,MATCH(B1172,'案件'!$A$6:$A$105,0))&amp;"","（案件シートに無い番号）"))</f>
        <v/>
      </c>
      <c r="D1172" s="36" t="n"/>
      <c r="E1172" s="38" t="n"/>
      <c r="F1172" s="39" t="n"/>
      <c r="G1172" s="36" t="n"/>
      <c r="H1172" s="40" t="n"/>
      <c r="I1172" s="40" t="n"/>
      <c r="J1172" s="41">
        <f>IF(ISNUMBER(H1172),H1172,IF(AND(D1172="労務費",TRIM(E1172)&lt;&gt;""),IFERROR(INDEX('設定'!$G$12:$G$31,MATCH(TRIM(E1172),'設定'!$J$12:$J$31,0)),""),""))</f>
        <v/>
      </c>
      <c r="K1172" s="30">
        <f>IF(AND(ISNUMBER(F1172),ISNUMBER(J1172)),ROUND(F1172*J1172,0),IF(ISNUMBER(I1172),I1172,""))</f>
        <v/>
      </c>
      <c r="L1172" s="33" t="n"/>
      <c r="M1172" s="34">
        <f>IF(COUNTA(A1172:B1172,D1172:I1172,L1172)=0,"",IF(B1172="","案件番号がありません",IF(ISNA(MATCH(B1172,'案件'!$A$6:$A$105,0)),"案件シートに無い番号です",IF(NOT(OR(D1172="材料費",D1172="労務費",D1172="外注費",D1172="経費")),"費目を4つから選んでください",IF(K1172="",IF(AND(ISNUMBER(F1172),NOT(ISNUMBER(J1172))),IF(D1172="労務費","単価がありません（設定の作業者名と同じ書き方に）","単価がありません"),IF(AND(ISNUMBER(J1172),NOT(ISNUMBER(F1172))),"数量がありません","金額がありません")),IF(NOT(ISNUMBER(A1172)),"日付がありません（月別集計に入りません）",IF(AND(ISNUMBER(F1172),ISNUMBER(J1172),ISNUMBER(I1172)),"数量×単価を使いました（金額の欄は使っていません）","")))))))</f>
        <v/>
      </c>
      <c r="N1172" s="91">
        <f>IF(AND(B1172&lt;&gt;"",B1172='案件カード'!$C$3),COUNTIF($B$5:B1172,'案件カード'!$C$3),"")</f>
        <v/>
      </c>
      <c r="O1172" s="91">
        <f>IF(ISNUMBER(K1172),IF(B1172="",K1172,IF(AND(ISNUMBER(MATCH(B1172,'案件'!$A$6:$A$105,0)),OR(D1172="材料費",D1172="労務費",D1172="外注費",D1172="経費")),0,K1172)),0)</f>
        <v/>
      </c>
    </row>
    <row r="1173" ht="16" customHeight="1">
      <c r="A1173" s="35" t="n"/>
      <c r="B1173" s="36" t="n"/>
      <c r="C1173" s="37">
        <f>IF(B1173="","",IFERROR(INDEX('案件'!$B$6:$B$105,MATCH(B1173,'案件'!$A$6:$A$105,0))&amp;"","（案件シートに無い番号）"))</f>
        <v/>
      </c>
      <c r="D1173" s="36" t="n"/>
      <c r="E1173" s="38" t="n"/>
      <c r="F1173" s="39" t="n"/>
      <c r="G1173" s="36" t="n"/>
      <c r="H1173" s="40" t="n"/>
      <c r="I1173" s="40" t="n"/>
      <c r="J1173" s="41">
        <f>IF(ISNUMBER(H1173),H1173,IF(AND(D1173="労務費",TRIM(E1173)&lt;&gt;""),IFERROR(INDEX('設定'!$G$12:$G$31,MATCH(TRIM(E1173),'設定'!$J$12:$J$31,0)),""),""))</f>
        <v/>
      </c>
      <c r="K1173" s="30">
        <f>IF(AND(ISNUMBER(F1173),ISNUMBER(J1173)),ROUND(F1173*J1173,0),IF(ISNUMBER(I1173),I1173,""))</f>
        <v/>
      </c>
      <c r="L1173" s="33" t="n"/>
      <c r="M1173" s="34">
        <f>IF(COUNTA(A1173:B1173,D1173:I1173,L1173)=0,"",IF(B1173="","案件番号がありません",IF(ISNA(MATCH(B1173,'案件'!$A$6:$A$105,0)),"案件シートに無い番号です",IF(NOT(OR(D1173="材料費",D1173="労務費",D1173="外注費",D1173="経費")),"費目を4つから選んでください",IF(K1173="",IF(AND(ISNUMBER(F1173),NOT(ISNUMBER(J1173))),IF(D1173="労務費","単価がありません（設定の作業者名と同じ書き方に）","単価がありません"),IF(AND(ISNUMBER(J1173),NOT(ISNUMBER(F1173))),"数量がありません","金額がありません")),IF(NOT(ISNUMBER(A1173)),"日付がありません（月別集計に入りません）",IF(AND(ISNUMBER(F1173),ISNUMBER(J1173),ISNUMBER(I1173)),"数量×単価を使いました（金額の欄は使っていません）","")))))))</f>
        <v/>
      </c>
      <c r="N1173" s="91">
        <f>IF(AND(B1173&lt;&gt;"",B1173='案件カード'!$C$3),COUNTIF($B$5:B1173,'案件カード'!$C$3),"")</f>
        <v/>
      </c>
      <c r="O1173" s="91">
        <f>IF(ISNUMBER(K1173),IF(B1173="",K1173,IF(AND(ISNUMBER(MATCH(B1173,'案件'!$A$6:$A$105,0)),OR(D1173="材料費",D1173="労務費",D1173="外注費",D1173="経費")),0,K1173)),0)</f>
        <v/>
      </c>
    </row>
    <row r="1174" ht="16" customHeight="1">
      <c r="A1174" s="35" t="n"/>
      <c r="B1174" s="36" t="n"/>
      <c r="C1174" s="37">
        <f>IF(B1174="","",IFERROR(INDEX('案件'!$B$6:$B$105,MATCH(B1174,'案件'!$A$6:$A$105,0))&amp;"","（案件シートに無い番号）"))</f>
        <v/>
      </c>
      <c r="D1174" s="36" t="n"/>
      <c r="E1174" s="38" t="n"/>
      <c r="F1174" s="39" t="n"/>
      <c r="G1174" s="36" t="n"/>
      <c r="H1174" s="40" t="n"/>
      <c r="I1174" s="40" t="n"/>
      <c r="J1174" s="41">
        <f>IF(ISNUMBER(H1174),H1174,IF(AND(D1174="労務費",TRIM(E1174)&lt;&gt;""),IFERROR(INDEX('設定'!$G$12:$G$31,MATCH(TRIM(E1174),'設定'!$J$12:$J$31,0)),""),""))</f>
        <v/>
      </c>
      <c r="K1174" s="30">
        <f>IF(AND(ISNUMBER(F1174),ISNUMBER(J1174)),ROUND(F1174*J1174,0),IF(ISNUMBER(I1174),I1174,""))</f>
        <v/>
      </c>
      <c r="L1174" s="33" t="n"/>
      <c r="M1174" s="34">
        <f>IF(COUNTA(A1174:B1174,D1174:I1174,L1174)=0,"",IF(B1174="","案件番号がありません",IF(ISNA(MATCH(B1174,'案件'!$A$6:$A$105,0)),"案件シートに無い番号です",IF(NOT(OR(D1174="材料費",D1174="労務費",D1174="外注費",D1174="経費")),"費目を4つから選んでください",IF(K1174="",IF(AND(ISNUMBER(F1174),NOT(ISNUMBER(J1174))),IF(D1174="労務費","単価がありません（設定の作業者名と同じ書き方に）","単価がありません"),IF(AND(ISNUMBER(J1174),NOT(ISNUMBER(F1174))),"数量がありません","金額がありません")),IF(NOT(ISNUMBER(A1174)),"日付がありません（月別集計に入りません）",IF(AND(ISNUMBER(F1174),ISNUMBER(J1174),ISNUMBER(I1174)),"数量×単価を使いました（金額の欄は使っていません）","")))))))</f>
        <v/>
      </c>
      <c r="N1174" s="91">
        <f>IF(AND(B1174&lt;&gt;"",B1174='案件カード'!$C$3),COUNTIF($B$5:B1174,'案件カード'!$C$3),"")</f>
        <v/>
      </c>
      <c r="O1174" s="91">
        <f>IF(ISNUMBER(K1174),IF(B1174="",K1174,IF(AND(ISNUMBER(MATCH(B1174,'案件'!$A$6:$A$105,0)),OR(D1174="材料費",D1174="労務費",D1174="外注費",D1174="経費")),0,K1174)),0)</f>
        <v/>
      </c>
    </row>
    <row r="1175" ht="16" customHeight="1">
      <c r="A1175" s="35" t="n"/>
      <c r="B1175" s="36" t="n"/>
      <c r="C1175" s="37">
        <f>IF(B1175="","",IFERROR(INDEX('案件'!$B$6:$B$105,MATCH(B1175,'案件'!$A$6:$A$105,0))&amp;"","（案件シートに無い番号）"))</f>
        <v/>
      </c>
      <c r="D1175" s="36" t="n"/>
      <c r="E1175" s="38" t="n"/>
      <c r="F1175" s="39" t="n"/>
      <c r="G1175" s="36" t="n"/>
      <c r="H1175" s="40" t="n"/>
      <c r="I1175" s="40" t="n"/>
      <c r="J1175" s="41">
        <f>IF(ISNUMBER(H1175),H1175,IF(AND(D1175="労務費",TRIM(E1175)&lt;&gt;""),IFERROR(INDEX('設定'!$G$12:$G$31,MATCH(TRIM(E1175),'設定'!$J$12:$J$31,0)),""),""))</f>
        <v/>
      </c>
      <c r="K1175" s="30">
        <f>IF(AND(ISNUMBER(F1175),ISNUMBER(J1175)),ROUND(F1175*J1175,0),IF(ISNUMBER(I1175),I1175,""))</f>
        <v/>
      </c>
      <c r="L1175" s="33" t="n"/>
      <c r="M1175" s="34">
        <f>IF(COUNTA(A1175:B1175,D1175:I1175,L1175)=0,"",IF(B1175="","案件番号がありません",IF(ISNA(MATCH(B1175,'案件'!$A$6:$A$105,0)),"案件シートに無い番号です",IF(NOT(OR(D1175="材料費",D1175="労務費",D1175="外注費",D1175="経費")),"費目を4つから選んでください",IF(K1175="",IF(AND(ISNUMBER(F1175),NOT(ISNUMBER(J1175))),IF(D1175="労務費","単価がありません（設定の作業者名と同じ書き方に）","単価がありません"),IF(AND(ISNUMBER(J1175),NOT(ISNUMBER(F1175))),"数量がありません","金額がありません")),IF(NOT(ISNUMBER(A1175)),"日付がありません（月別集計に入りません）",IF(AND(ISNUMBER(F1175),ISNUMBER(J1175),ISNUMBER(I1175)),"数量×単価を使いました（金額の欄は使っていません）","")))))))</f>
        <v/>
      </c>
      <c r="N1175" s="91">
        <f>IF(AND(B1175&lt;&gt;"",B1175='案件カード'!$C$3),COUNTIF($B$5:B1175,'案件カード'!$C$3),"")</f>
        <v/>
      </c>
      <c r="O1175" s="91">
        <f>IF(ISNUMBER(K1175),IF(B1175="",K1175,IF(AND(ISNUMBER(MATCH(B1175,'案件'!$A$6:$A$105,0)),OR(D1175="材料費",D1175="労務費",D1175="外注費",D1175="経費")),0,K1175)),0)</f>
        <v/>
      </c>
    </row>
    <row r="1176" ht="16" customHeight="1">
      <c r="A1176" s="35" t="n"/>
      <c r="B1176" s="36" t="n"/>
      <c r="C1176" s="37">
        <f>IF(B1176="","",IFERROR(INDEX('案件'!$B$6:$B$105,MATCH(B1176,'案件'!$A$6:$A$105,0))&amp;"","（案件シートに無い番号）"))</f>
        <v/>
      </c>
      <c r="D1176" s="36" t="n"/>
      <c r="E1176" s="38" t="n"/>
      <c r="F1176" s="39" t="n"/>
      <c r="G1176" s="36" t="n"/>
      <c r="H1176" s="40" t="n"/>
      <c r="I1176" s="40" t="n"/>
      <c r="J1176" s="41">
        <f>IF(ISNUMBER(H1176),H1176,IF(AND(D1176="労務費",TRIM(E1176)&lt;&gt;""),IFERROR(INDEX('設定'!$G$12:$G$31,MATCH(TRIM(E1176),'設定'!$J$12:$J$31,0)),""),""))</f>
        <v/>
      </c>
      <c r="K1176" s="30">
        <f>IF(AND(ISNUMBER(F1176),ISNUMBER(J1176)),ROUND(F1176*J1176,0),IF(ISNUMBER(I1176),I1176,""))</f>
        <v/>
      </c>
      <c r="L1176" s="33" t="n"/>
      <c r="M1176" s="34">
        <f>IF(COUNTA(A1176:B1176,D1176:I1176,L1176)=0,"",IF(B1176="","案件番号がありません",IF(ISNA(MATCH(B1176,'案件'!$A$6:$A$105,0)),"案件シートに無い番号です",IF(NOT(OR(D1176="材料費",D1176="労務費",D1176="外注費",D1176="経費")),"費目を4つから選んでください",IF(K1176="",IF(AND(ISNUMBER(F1176),NOT(ISNUMBER(J1176))),IF(D1176="労務費","単価がありません（設定の作業者名と同じ書き方に）","単価がありません"),IF(AND(ISNUMBER(J1176),NOT(ISNUMBER(F1176))),"数量がありません","金額がありません")),IF(NOT(ISNUMBER(A1176)),"日付がありません（月別集計に入りません）",IF(AND(ISNUMBER(F1176),ISNUMBER(J1176),ISNUMBER(I1176)),"数量×単価を使いました（金額の欄は使っていません）","")))))))</f>
        <v/>
      </c>
      <c r="N1176" s="91">
        <f>IF(AND(B1176&lt;&gt;"",B1176='案件カード'!$C$3),COUNTIF($B$5:B1176,'案件カード'!$C$3),"")</f>
        <v/>
      </c>
      <c r="O1176" s="91">
        <f>IF(ISNUMBER(K1176),IF(B1176="",K1176,IF(AND(ISNUMBER(MATCH(B1176,'案件'!$A$6:$A$105,0)),OR(D1176="材料費",D1176="労務費",D1176="外注費",D1176="経費")),0,K1176)),0)</f>
        <v/>
      </c>
    </row>
    <row r="1177" ht="16" customHeight="1">
      <c r="A1177" s="35" t="n"/>
      <c r="B1177" s="36" t="n"/>
      <c r="C1177" s="37">
        <f>IF(B1177="","",IFERROR(INDEX('案件'!$B$6:$B$105,MATCH(B1177,'案件'!$A$6:$A$105,0))&amp;"","（案件シートに無い番号）"))</f>
        <v/>
      </c>
      <c r="D1177" s="36" t="n"/>
      <c r="E1177" s="38" t="n"/>
      <c r="F1177" s="39" t="n"/>
      <c r="G1177" s="36" t="n"/>
      <c r="H1177" s="40" t="n"/>
      <c r="I1177" s="40" t="n"/>
      <c r="J1177" s="41">
        <f>IF(ISNUMBER(H1177),H1177,IF(AND(D1177="労務費",TRIM(E1177)&lt;&gt;""),IFERROR(INDEX('設定'!$G$12:$G$31,MATCH(TRIM(E1177),'設定'!$J$12:$J$31,0)),""),""))</f>
        <v/>
      </c>
      <c r="K1177" s="30">
        <f>IF(AND(ISNUMBER(F1177),ISNUMBER(J1177)),ROUND(F1177*J1177,0),IF(ISNUMBER(I1177),I1177,""))</f>
        <v/>
      </c>
      <c r="L1177" s="33" t="n"/>
      <c r="M1177" s="34">
        <f>IF(COUNTA(A1177:B1177,D1177:I1177,L1177)=0,"",IF(B1177="","案件番号がありません",IF(ISNA(MATCH(B1177,'案件'!$A$6:$A$105,0)),"案件シートに無い番号です",IF(NOT(OR(D1177="材料費",D1177="労務費",D1177="外注費",D1177="経費")),"費目を4つから選んでください",IF(K1177="",IF(AND(ISNUMBER(F1177),NOT(ISNUMBER(J1177))),IF(D1177="労務費","単価がありません（設定の作業者名と同じ書き方に）","単価がありません"),IF(AND(ISNUMBER(J1177),NOT(ISNUMBER(F1177))),"数量がありません","金額がありません")),IF(NOT(ISNUMBER(A1177)),"日付がありません（月別集計に入りません）",IF(AND(ISNUMBER(F1177),ISNUMBER(J1177),ISNUMBER(I1177)),"数量×単価を使いました（金額の欄は使っていません）","")))))))</f>
        <v/>
      </c>
      <c r="N1177" s="91">
        <f>IF(AND(B1177&lt;&gt;"",B1177='案件カード'!$C$3),COUNTIF($B$5:B1177,'案件カード'!$C$3),"")</f>
        <v/>
      </c>
      <c r="O1177" s="91">
        <f>IF(ISNUMBER(K1177),IF(B1177="",K1177,IF(AND(ISNUMBER(MATCH(B1177,'案件'!$A$6:$A$105,0)),OR(D1177="材料費",D1177="労務費",D1177="外注費",D1177="経費")),0,K1177)),0)</f>
        <v/>
      </c>
    </row>
    <row r="1178" ht="16" customHeight="1">
      <c r="A1178" s="35" t="n"/>
      <c r="B1178" s="36" t="n"/>
      <c r="C1178" s="37">
        <f>IF(B1178="","",IFERROR(INDEX('案件'!$B$6:$B$105,MATCH(B1178,'案件'!$A$6:$A$105,0))&amp;"","（案件シートに無い番号）"))</f>
        <v/>
      </c>
      <c r="D1178" s="36" t="n"/>
      <c r="E1178" s="38" t="n"/>
      <c r="F1178" s="39" t="n"/>
      <c r="G1178" s="36" t="n"/>
      <c r="H1178" s="40" t="n"/>
      <c r="I1178" s="40" t="n"/>
      <c r="J1178" s="41">
        <f>IF(ISNUMBER(H1178),H1178,IF(AND(D1178="労務費",TRIM(E1178)&lt;&gt;""),IFERROR(INDEX('設定'!$G$12:$G$31,MATCH(TRIM(E1178),'設定'!$J$12:$J$31,0)),""),""))</f>
        <v/>
      </c>
      <c r="K1178" s="30">
        <f>IF(AND(ISNUMBER(F1178),ISNUMBER(J1178)),ROUND(F1178*J1178,0),IF(ISNUMBER(I1178),I1178,""))</f>
        <v/>
      </c>
      <c r="L1178" s="33" t="n"/>
      <c r="M1178" s="34">
        <f>IF(COUNTA(A1178:B1178,D1178:I1178,L1178)=0,"",IF(B1178="","案件番号がありません",IF(ISNA(MATCH(B1178,'案件'!$A$6:$A$105,0)),"案件シートに無い番号です",IF(NOT(OR(D1178="材料費",D1178="労務費",D1178="外注費",D1178="経費")),"費目を4つから選んでください",IF(K1178="",IF(AND(ISNUMBER(F1178),NOT(ISNUMBER(J1178))),IF(D1178="労務費","単価がありません（設定の作業者名と同じ書き方に）","単価がありません"),IF(AND(ISNUMBER(J1178),NOT(ISNUMBER(F1178))),"数量がありません","金額がありません")),IF(NOT(ISNUMBER(A1178)),"日付がありません（月別集計に入りません）",IF(AND(ISNUMBER(F1178),ISNUMBER(J1178),ISNUMBER(I1178)),"数量×単価を使いました（金額の欄は使っていません）","")))))))</f>
        <v/>
      </c>
      <c r="N1178" s="91">
        <f>IF(AND(B1178&lt;&gt;"",B1178='案件カード'!$C$3),COUNTIF($B$5:B1178,'案件カード'!$C$3),"")</f>
        <v/>
      </c>
      <c r="O1178" s="91">
        <f>IF(ISNUMBER(K1178),IF(B1178="",K1178,IF(AND(ISNUMBER(MATCH(B1178,'案件'!$A$6:$A$105,0)),OR(D1178="材料費",D1178="労務費",D1178="外注費",D1178="経費")),0,K1178)),0)</f>
        <v/>
      </c>
    </row>
    <row r="1179" ht="16" customHeight="1">
      <c r="A1179" s="35" t="n"/>
      <c r="B1179" s="36" t="n"/>
      <c r="C1179" s="37">
        <f>IF(B1179="","",IFERROR(INDEX('案件'!$B$6:$B$105,MATCH(B1179,'案件'!$A$6:$A$105,0))&amp;"","（案件シートに無い番号）"))</f>
        <v/>
      </c>
      <c r="D1179" s="36" t="n"/>
      <c r="E1179" s="38" t="n"/>
      <c r="F1179" s="39" t="n"/>
      <c r="G1179" s="36" t="n"/>
      <c r="H1179" s="40" t="n"/>
      <c r="I1179" s="40" t="n"/>
      <c r="J1179" s="41">
        <f>IF(ISNUMBER(H1179),H1179,IF(AND(D1179="労務費",TRIM(E1179)&lt;&gt;""),IFERROR(INDEX('設定'!$G$12:$G$31,MATCH(TRIM(E1179),'設定'!$J$12:$J$31,0)),""),""))</f>
        <v/>
      </c>
      <c r="K1179" s="30">
        <f>IF(AND(ISNUMBER(F1179),ISNUMBER(J1179)),ROUND(F1179*J1179,0),IF(ISNUMBER(I1179),I1179,""))</f>
        <v/>
      </c>
      <c r="L1179" s="33" t="n"/>
      <c r="M1179" s="34">
        <f>IF(COUNTA(A1179:B1179,D1179:I1179,L1179)=0,"",IF(B1179="","案件番号がありません",IF(ISNA(MATCH(B1179,'案件'!$A$6:$A$105,0)),"案件シートに無い番号です",IF(NOT(OR(D1179="材料費",D1179="労務費",D1179="外注費",D1179="経費")),"費目を4つから選んでください",IF(K1179="",IF(AND(ISNUMBER(F1179),NOT(ISNUMBER(J1179))),IF(D1179="労務費","単価がありません（設定の作業者名と同じ書き方に）","単価がありません"),IF(AND(ISNUMBER(J1179),NOT(ISNUMBER(F1179))),"数量がありません","金額がありません")),IF(NOT(ISNUMBER(A1179)),"日付がありません（月別集計に入りません）",IF(AND(ISNUMBER(F1179),ISNUMBER(J1179),ISNUMBER(I1179)),"数量×単価を使いました（金額の欄は使っていません）","")))))))</f>
        <v/>
      </c>
      <c r="N1179" s="91">
        <f>IF(AND(B1179&lt;&gt;"",B1179='案件カード'!$C$3),COUNTIF($B$5:B1179,'案件カード'!$C$3),"")</f>
        <v/>
      </c>
      <c r="O1179" s="91">
        <f>IF(ISNUMBER(K1179),IF(B1179="",K1179,IF(AND(ISNUMBER(MATCH(B1179,'案件'!$A$6:$A$105,0)),OR(D1179="材料費",D1179="労務費",D1179="外注費",D1179="経費")),0,K1179)),0)</f>
        <v/>
      </c>
    </row>
    <row r="1180" ht="16" customHeight="1">
      <c r="A1180" s="35" t="n"/>
      <c r="B1180" s="36" t="n"/>
      <c r="C1180" s="37">
        <f>IF(B1180="","",IFERROR(INDEX('案件'!$B$6:$B$105,MATCH(B1180,'案件'!$A$6:$A$105,0))&amp;"","（案件シートに無い番号）"))</f>
        <v/>
      </c>
      <c r="D1180" s="36" t="n"/>
      <c r="E1180" s="38" t="n"/>
      <c r="F1180" s="39" t="n"/>
      <c r="G1180" s="36" t="n"/>
      <c r="H1180" s="40" t="n"/>
      <c r="I1180" s="40" t="n"/>
      <c r="J1180" s="41">
        <f>IF(ISNUMBER(H1180),H1180,IF(AND(D1180="労務費",TRIM(E1180)&lt;&gt;""),IFERROR(INDEX('設定'!$G$12:$G$31,MATCH(TRIM(E1180),'設定'!$J$12:$J$31,0)),""),""))</f>
        <v/>
      </c>
      <c r="K1180" s="30">
        <f>IF(AND(ISNUMBER(F1180),ISNUMBER(J1180)),ROUND(F1180*J1180,0),IF(ISNUMBER(I1180),I1180,""))</f>
        <v/>
      </c>
      <c r="L1180" s="33" t="n"/>
      <c r="M1180" s="34">
        <f>IF(COUNTA(A1180:B1180,D1180:I1180,L1180)=0,"",IF(B1180="","案件番号がありません",IF(ISNA(MATCH(B1180,'案件'!$A$6:$A$105,0)),"案件シートに無い番号です",IF(NOT(OR(D1180="材料費",D1180="労務費",D1180="外注費",D1180="経費")),"費目を4つから選んでください",IF(K1180="",IF(AND(ISNUMBER(F1180),NOT(ISNUMBER(J1180))),IF(D1180="労務費","単価がありません（設定の作業者名と同じ書き方に）","単価がありません"),IF(AND(ISNUMBER(J1180),NOT(ISNUMBER(F1180))),"数量がありません","金額がありません")),IF(NOT(ISNUMBER(A1180)),"日付がありません（月別集計に入りません）",IF(AND(ISNUMBER(F1180),ISNUMBER(J1180),ISNUMBER(I1180)),"数量×単価を使いました（金額の欄は使っていません）","")))))))</f>
        <v/>
      </c>
      <c r="N1180" s="91">
        <f>IF(AND(B1180&lt;&gt;"",B1180='案件カード'!$C$3),COUNTIF($B$5:B1180,'案件カード'!$C$3),"")</f>
        <v/>
      </c>
      <c r="O1180" s="91">
        <f>IF(ISNUMBER(K1180),IF(B1180="",K1180,IF(AND(ISNUMBER(MATCH(B1180,'案件'!$A$6:$A$105,0)),OR(D1180="材料費",D1180="労務費",D1180="外注費",D1180="経費")),0,K1180)),0)</f>
        <v/>
      </c>
    </row>
    <row r="1181" ht="16" customHeight="1">
      <c r="A1181" s="35" t="n"/>
      <c r="B1181" s="36" t="n"/>
      <c r="C1181" s="37">
        <f>IF(B1181="","",IFERROR(INDEX('案件'!$B$6:$B$105,MATCH(B1181,'案件'!$A$6:$A$105,0))&amp;"","（案件シートに無い番号）"))</f>
        <v/>
      </c>
      <c r="D1181" s="36" t="n"/>
      <c r="E1181" s="38" t="n"/>
      <c r="F1181" s="39" t="n"/>
      <c r="G1181" s="36" t="n"/>
      <c r="H1181" s="40" t="n"/>
      <c r="I1181" s="40" t="n"/>
      <c r="J1181" s="41">
        <f>IF(ISNUMBER(H1181),H1181,IF(AND(D1181="労務費",TRIM(E1181)&lt;&gt;""),IFERROR(INDEX('設定'!$G$12:$G$31,MATCH(TRIM(E1181),'設定'!$J$12:$J$31,0)),""),""))</f>
        <v/>
      </c>
      <c r="K1181" s="30">
        <f>IF(AND(ISNUMBER(F1181),ISNUMBER(J1181)),ROUND(F1181*J1181,0),IF(ISNUMBER(I1181),I1181,""))</f>
        <v/>
      </c>
      <c r="L1181" s="33" t="n"/>
      <c r="M1181" s="34">
        <f>IF(COUNTA(A1181:B1181,D1181:I1181,L1181)=0,"",IF(B1181="","案件番号がありません",IF(ISNA(MATCH(B1181,'案件'!$A$6:$A$105,0)),"案件シートに無い番号です",IF(NOT(OR(D1181="材料費",D1181="労務費",D1181="外注費",D1181="経費")),"費目を4つから選んでください",IF(K1181="",IF(AND(ISNUMBER(F1181),NOT(ISNUMBER(J1181))),IF(D1181="労務費","単価がありません（設定の作業者名と同じ書き方に）","単価がありません"),IF(AND(ISNUMBER(J1181),NOT(ISNUMBER(F1181))),"数量がありません","金額がありません")),IF(NOT(ISNUMBER(A1181)),"日付がありません（月別集計に入りません）",IF(AND(ISNUMBER(F1181),ISNUMBER(J1181),ISNUMBER(I1181)),"数量×単価を使いました（金額の欄は使っていません）","")))))))</f>
        <v/>
      </c>
      <c r="N1181" s="91">
        <f>IF(AND(B1181&lt;&gt;"",B1181='案件カード'!$C$3),COUNTIF($B$5:B1181,'案件カード'!$C$3),"")</f>
        <v/>
      </c>
      <c r="O1181" s="91">
        <f>IF(ISNUMBER(K1181),IF(B1181="",K1181,IF(AND(ISNUMBER(MATCH(B1181,'案件'!$A$6:$A$105,0)),OR(D1181="材料費",D1181="労務費",D1181="外注費",D1181="経費")),0,K1181)),0)</f>
        <v/>
      </c>
    </row>
    <row r="1182" ht="16" customHeight="1">
      <c r="A1182" s="35" t="n"/>
      <c r="B1182" s="36" t="n"/>
      <c r="C1182" s="37">
        <f>IF(B1182="","",IFERROR(INDEX('案件'!$B$6:$B$105,MATCH(B1182,'案件'!$A$6:$A$105,0))&amp;"","（案件シートに無い番号）"))</f>
        <v/>
      </c>
      <c r="D1182" s="36" t="n"/>
      <c r="E1182" s="38" t="n"/>
      <c r="F1182" s="39" t="n"/>
      <c r="G1182" s="36" t="n"/>
      <c r="H1182" s="40" t="n"/>
      <c r="I1182" s="40" t="n"/>
      <c r="J1182" s="41">
        <f>IF(ISNUMBER(H1182),H1182,IF(AND(D1182="労務費",TRIM(E1182)&lt;&gt;""),IFERROR(INDEX('設定'!$G$12:$G$31,MATCH(TRIM(E1182),'設定'!$J$12:$J$31,0)),""),""))</f>
        <v/>
      </c>
      <c r="K1182" s="30">
        <f>IF(AND(ISNUMBER(F1182),ISNUMBER(J1182)),ROUND(F1182*J1182,0),IF(ISNUMBER(I1182),I1182,""))</f>
        <v/>
      </c>
      <c r="L1182" s="33" t="n"/>
      <c r="M1182" s="34">
        <f>IF(COUNTA(A1182:B1182,D1182:I1182,L1182)=0,"",IF(B1182="","案件番号がありません",IF(ISNA(MATCH(B1182,'案件'!$A$6:$A$105,0)),"案件シートに無い番号です",IF(NOT(OR(D1182="材料費",D1182="労務費",D1182="外注費",D1182="経費")),"費目を4つから選んでください",IF(K1182="",IF(AND(ISNUMBER(F1182),NOT(ISNUMBER(J1182))),IF(D1182="労務費","単価がありません（設定の作業者名と同じ書き方に）","単価がありません"),IF(AND(ISNUMBER(J1182),NOT(ISNUMBER(F1182))),"数量がありません","金額がありません")),IF(NOT(ISNUMBER(A1182)),"日付がありません（月別集計に入りません）",IF(AND(ISNUMBER(F1182),ISNUMBER(J1182),ISNUMBER(I1182)),"数量×単価を使いました（金額の欄は使っていません）","")))))))</f>
        <v/>
      </c>
      <c r="N1182" s="91">
        <f>IF(AND(B1182&lt;&gt;"",B1182='案件カード'!$C$3),COUNTIF($B$5:B1182,'案件カード'!$C$3),"")</f>
        <v/>
      </c>
      <c r="O1182" s="91">
        <f>IF(ISNUMBER(K1182),IF(B1182="",K1182,IF(AND(ISNUMBER(MATCH(B1182,'案件'!$A$6:$A$105,0)),OR(D1182="材料費",D1182="労務費",D1182="外注費",D1182="経費")),0,K1182)),0)</f>
        <v/>
      </c>
    </row>
    <row r="1183" ht="16" customHeight="1">
      <c r="A1183" s="35" t="n"/>
      <c r="B1183" s="36" t="n"/>
      <c r="C1183" s="37">
        <f>IF(B1183="","",IFERROR(INDEX('案件'!$B$6:$B$105,MATCH(B1183,'案件'!$A$6:$A$105,0))&amp;"","（案件シートに無い番号）"))</f>
        <v/>
      </c>
      <c r="D1183" s="36" t="n"/>
      <c r="E1183" s="38" t="n"/>
      <c r="F1183" s="39" t="n"/>
      <c r="G1183" s="36" t="n"/>
      <c r="H1183" s="40" t="n"/>
      <c r="I1183" s="40" t="n"/>
      <c r="J1183" s="41">
        <f>IF(ISNUMBER(H1183),H1183,IF(AND(D1183="労務費",TRIM(E1183)&lt;&gt;""),IFERROR(INDEX('設定'!$G$12:$G$31,MATCH(TRIM(E1183),'設定'!$J$12:$J$31,0)),""),""))</f>
        <v/>
      </c>
      <c r="K1183" s="30">
        <f>IF(AND(ISNUMBER(F1183),ISNUMBER(J1183)),ROUND(F1183*J1183,0),IF(ISNUMBER(I1183),I1183,""))</f>
        <v/>
      </c>
      <c r="L1183" s="33" t="n"/>
      <c r="M1183" s="34">
        <f>IF(COUNTA(A1183:B1183,D1183:I1183,L1183)=0,"",IF(B1183="","案件番号がありません",IF(ISNA(MATCH(B1183,'案件'!$A$6:$A$105,0)),"案件シートに無い番号です",IF(NOT(OR(D1183="材料費",D1183="労務費",D1183="外注費",D1183="経費")),"費目を4つから選んでください",IF(K1183="",IF(AND(ISNUMBER(F1183),NOT(ISNUMBER(J1183))),IF(D1183="労務費","単価がありません（設定の作業者名と同じ書き方に）","単価がありません"),IF(AND(ISNUMBER(J1183),NOT(ISNUMBER(F1183))),"数量がありません","金額がありません")),IF(NOT(ISNUMBER(A1183)),"日付がありません（月別集計に入りません）",IF(AND(ISNUMBER(F1183),ISNUMBER(J1183),ISNUMBER(I1183)),"数量×単価を使いました（金額の欄は使っていません）","")))))))</f>
        <v/>
      </c>
      <c r="N1183" s="91">
        <f>IF(AND(B1183&lt;&gt;"",B1183='案件カード'!$C$3),COUNTIF($B$5:B1183,'案件カード'!$C$3),"")</f>
        <v/>
      </c>
      <c r="O1183" s="91">
        <f>IF(ISNUMBER(K1183),IF(B1183="",K1183,IF(AND(ISNUMBER(MATCH(B1183,'案件'!$A$6:$A$105,0)),OR(D1183="材料費",D1183="労務費",D1183="外注費",D1183="経費")),0,K1183)),0)</f>
        <v/>
      </c>
    </row>
    <row r="1184" ht="16" customHeight="1">
      <c r="A1184" s="35" t="n"/>
      <c r="B1184" s="36" t="n"/>
      <c r="C1184" s="37">
        <f>IF(B1184="","",IFERROR(INDEX('案件'!$B$6:$B$105,MATCH(B1184,'案件'!$A$6:$A$105,0))&amp;"","（案件シートに無い番号）"))</f>
        <v/>
      </c>
      <c r="D1184" s="36" t="n"/>
      <c r="E1184" s="38" t="n"/>
      <c r="F1184" s="39" t="n"/>
      <c r="G1184" s="36" t="n"/>
      <c r="H1184" s="40" t="n"/>
      <c r="I1184" s="40" t="n"/>
      <c r="J1184" s="41">
        <f>IF(ISNUMBER(H1184),H1184,IF(AND(D1184="労務費",TRIM(E1184)&lt;&gt;""),IFERROR(INDEX('設定'!$G$12:$G$31,MATCH(TRIM(E1184),'設定'!$J$12:$J$31,0)),""),""))</f>
        <v/>
      </c>
      <c r="K1184" s="30">
        <f>IF(AND(ISNUMBER(F1184),ISNUMBER(J1184)),ROUND(F1184*J1184,0),IF(ISNUMBER(I1184),I1184,""))</f>
        <v/>
      </c>
      <c r="L1184" s="33" t="n"/>
      <c r="M1184" s="34">
        <f>IF(COUNTA(A1184:B1184,D1184:I1184,L1184)=0,"",IF(B1184="","案件番号がありません",IF(ISNA(MATCH(B1184,'案件'!$A$6:$A$105,0)),"案件シートに無い番号です",IF(NOT(OR(D1184="材料費",D1184="労務費",D1184="外注費",D1184="経費")),"費目を4つから選んでください",IF(K1184="",IF(AND(ISNUMBER(F1184),NOT(ISNUMBER(J1184))),IF(D1184="労務費","単価がありません（設定の作業者名と同じ書き方に）","単価がありません"),IF(AND(ISNUMBER(J1184),NOT(ISNUMBER(F1184))),"数量がありません","金額がありません")),IF(NOT(ISNUMBER(A1184)),"日付がありません（月別集計に入りません）",IF(AND(ISNUMBER(F1184),ISNUMBER(J1184),ISNUMBER(I1184)),"数量×単価を使いました（金額の欄は使っていません）","")))))))</f>
        <v/>
      </c>
      <c r="N1184" s="91">
        <f>IF(AND(B1184&lt;&gt;"",B1184='案件カード'!$C$3),COUNTIF($B$5:B1184,'案件カード'!$C$3),"")</f>
        <v/>
      </c>
      <c r="O1184" s="91">
        <f>IF(ISNUMBER(K1184),IF(B1184="",K1184,IF(AND(ISNUMBER(MATCH(B1184,'案件'!$A$6:$A$105,0)),OR(D1184="材料費",D1184="労務費",D1184="外注費",D1184="経費")),0,K1184)),0)</f>
        <v/>
      </c>
    </row>
    <row r="1185" ht="16" customHeight="1">
      <c r="A1185" s="35" t="n"/>
      <c r="B1185" s="36" t="n"/>
      <c r="C1185" s="37">
        <f>IF(B1185="","",IFERROR(INDEX('案件'!$B$6:$B$105,MATCH(B1185,'案件'!$A$6:$A$105,0))&amp;"","（案件シートに無い番号）"))</f>
        <v/>
      </c>
      <c r="D1185" s="36" t="n"/>
      <c r="E1185" s="38" t="n"/>
      <c r="F1185" s="39" t="n"/>
      <c r="G1185" s="36" t="n"/>
      <c r="H1185" s="40" t="n"/>
      <c r="I1185" s="40" t="n"/>
      <c r="J1185" s="41">
        <f>IF(ISNUMBER(H1185),H1185,IF(AND(D1185="労務費",TRIM(E1185)&lt;&gt;""),IFERROR(INDEX('設定'!$G$12:$G$31,MATCH(TRIM(E1185),'設定'!$J$12:$J$31,0)),""),""))</f>
        <v/>
      </c>
      <c r="K1185" s="30">
        <f>IF(AND(ISNUMBER(F1185),ISNUMBER(J1185)),ROUND(F1185*J1185,0),IF(ISNUMBER(I1185),I1185,""))</f>
        <v/>
      </c>
      <c r="L1185" s="33" t="n"/>
      <c r="M1185" s="34">
        <f>IF(COUNTA(A1185:B1185,D1185:I1185,L1185)=0,"",IF(B1185="","案件番号がありません",IF(ISNA(MATCH(B1185,'案件'!$A$6:$A$105,0)),"案件シートに無い番号です",IF(NOT(OR(D1185="材料費",D1185="労務費",D1185="外注費",D1185="経費")),"費目を4つから選んでください",IF(K1185="",IF(AND(ISNUMBER(F1185),NOT(ISNUMBER(J1185))),IF(D1185="労務費","単価がありません（設定の作業者名と同じ書き方に）","単価がありません"),IF(AND(ISNUMBER(J1185),NOT(ISNUMBER(F1185))),"数量がありません","金額がありません")),IF(NOT(ISNUMBER(A1185)),"日付がありません（月別集計に入りません）",IF(AND(ISNUMBER(F1185),ISNUMBER(J1185),ISNUMBER(I1185)),"数量×単価を使いました（金額の欄は使っていません）","")))))))</f>
        <v/>
      </c>
      <c r="N1185" s="91">
        <f>IF(AND(B1185&lt;&gt;"",B1185='案件カード'!$C$3),COUNTIF($B$5:B1185,'案件カード'!$C$3),"")</f>
        <v/>
      </c>
      <c r="O1185" s="91">
        <f>IF(ISNUMBER(K1185),IF(B1185="",K1185,IF(AND(ISNUMBER(MATCH(B1185,'案件'!$A$6:$A$105,0)),OR(D1185="材料費",D1185="労務費",D1185="外注費",D1185="経費")),0,K1185)),0)</f>
        <v/>
      </c>
    </row>
    <row r="1186" ht="16" customHeight="1">
      <c r="A1186" s="35" t="n"/>
      <c r="B1186" s="36" t="n"/>
      <c r="C1186" s="37">
        <f>IF(B1186="","",IFERROR(INDEX('案件'!$B$6:$B$105,MATCH(B1186,'案件'!$A$6:$A$105,0))&amp;"","（案件シートに無い番号）"))</f>
        <v/>
      </c>
      <c r="D1186" s="36" t="n"/>
      <c r="E1186" s="38" t="n"/>
      <c r="F1186" s="39" t="n"/>
      <c r="G1186" s="36" t="n"/>
      <c r="H1186" s="40" t="n"/>
      <c r="I1186" s="40" t="n"/>
      <c r="J1186" s="41">
        <f>IF(ISNUMBER(H1186),H1186,IF(AND(D1186="労務費",TRIM(E1186)&lt;&gt;""),IFERROR(INDEX('設定'!$G$12:$G$31,MATCH(TRIM(E1186),'設定'!$J$12:$J$31,0)),""),""))</f>
        <v/>
      </c>
      <c r="K1186" s="30">
        <f>IF(AND(ISNUMBER(F1186),ISNUMBER(J1186)),ROUND(F1186*J1186,0),IF(ISNUMBER(I1186),I1186,""))</f>
        <v/>
      </c>
      <c r="L1186" s="33" t="n"/>
      <c r="M1186" s="34">
        <f>IF(COUNTA(A1186:B1186,D1186:I1186,L1186)=0,"",IF(B1186="","案件番号がありません",IF(ISNA(MATCH(B1186,'案件'!$A$6:$A$105,0)),"案件シートに無い番号です",IF(NOT(OR(D1186="材料費",D1186="労務費",D1186="外注費",D1186="経費")),"費目を4つから選んでください",IF(K1186="",IF(AND(ISNUMBER(F1186),NOT(ISNUMBER(J1186))),IF(D1186="労務費","単価がありません（設定の作業者名と同じ書き方に）","単価がありません"),IF(AND(ISNUMBER(J1186),NOT(ISNUMBER(F1186))),"数量がありません","金額がありません")),IF(NOT(ISNUMBER(A1186)),"日付がありません（月別集計に入りません）",IF(AND(ISNUMBER(F1186),ISNUMBER(J1186),ISNUMBER(I1186)),"数量×単価を使いました（金額の欄は使っていません）","")))))))</f>
        <v/>
      </c>
      <c r="N1186" s="91">
        <f>IF(AND(B1186&lt;&gt;"",B1186='案件カード'!$C$3),COUNTIF($B$5:B1186,'案件カード'!$C$3),"")</f>
        <v/>
      </c>
      <c r="O1186" s="91">
        <f>IF(ISNUMBER(K1186),IF(B1186="",K1186,IF(AND(ISNUMBER(MATCH(B1186,'案件'!$A$6:$A$105,0)),OR(D1186="材料費",D1186="労務費",D1186="外注費",D1186="経費")),0,K1186)),0)</f>
        <v/>
      </c>
    </row>
    <row r="1187" ht="16" customHeight="1">
      <c r="A1187" s="35" t="n"/>
      <c r="B1187" s="36" t="n"/>
      <c r="C1187" s="37">
        <f>IF(B1187="","",IFERROR(INDEX('案件'!$B$6:$B$105,MATCH(B1187,'案件'!$A$6:$A$105,0))&amp;"","（案件シートに無い番号）"))</f>
        <v/>
      </c>
      <c r="D1187" s="36" t="n"/>
      <c r="E1187" s="38" t="n"/>
      <c r="F1187" s="39" t="n"/>
      <c r="G1187" s="36" t="n"/>
      <c r="H1187" s="40" t="n"/>
      <c r="I1187" s="40" t="n"/>
      <c r="J1187" s="41">
        <f>IF(ISNUMBER(H1187),H1187,IF(AND(D1187="労務費",TRIM(E1187)&lt;&gt;""),IFERROR(INDEX('設定'!$G$12:$G$31,MATCH(TRIM(E1187),'設定'!$J$12:$J$31,0)),""),""))</f>
        <v/>
      </c>
      <c r="K1187" s="30">
        <f>IF(AND(ISNUMBER(F1187),ISNUMBER(J1187)),ROUND(F1187*J1187,0),IF(ISNUMBER(I1187),I1187,""))</f>
        <v/>
      </c>
      <c r="L1187" s="33" t="n"/>
      <c r="M1187" s="34">
        <f>IF(COUNTA(A1187:B1187,D1187:I1187,L1187)=0,"",IF(B1187="","案件番号がありません",IF(ISNA(MATCH(B1187,'案件'!$A$6:$A$105,0)),"案件シートに無い番号です",IF(NOT(OR(D1187="材料費",D1187="労務費",D1187="外注費",D1187="経費")),"費目を4つから選んでください",IF(K1187="",IF(AND(ISNUMBER(F1187),NOT(ISNUMBER(J1187))),IF(D1187="労務費","単価がありません（設定の作業者名と同じ書き方に）","単価がありません"),IF(AND(ISNUMBER(J1187),NOT(ISNUMBER(F1187))),"数量がありません","金額がありません")),IF(NOT(ISNUMBER(A1187)),"日付がありません（月別集計に入りません）",IF(AND(ISNUMBER(F1187),ISNUMBER(J1187),ISNUMBER(I1187)),"数量×単価を使いました（金額の欄は使っていません）","")))))))</f>
        <v/>
      </c>
      <c r="N1187" s="91">
        <f>IF(AND(B1187&lt;&gt;"",B1187='案件カード'!$C$3),COUNTIF($B$5:B1187,'案件カード'!$C$3),"")</f>
        <v/>
      </c>
      <c r="O1187" s="91">
        <f>IF(ISNUMBER(K1187),IF(B1187="",K1187,IF(AND(ISNUMBER(MATCH(B1187,'案件'!$A$6:$A$105,0)),OR(D1187="材料費",D1187="労務費",D1187="外注費",D1187="経費")),0,K1187)),0)</f>
        <v/>
      </c>
    </row>
    <row r="1188" ht="16" customHeight="1">
      <c r="A1188" s="35" t="n"/>
      <c r="B1188" s="36" t="n"/>
      <c r="C1188" s="37">
        <f>IF(B1188="","",IFERROR(INDEX('案件'!$B$6:$B$105,MATCH(B1188,'案件'!$A$6:$A$105,0))&amp;"","（案件シートに無い番号）"))</f>
        <v/>
      </c>
      <c r="D1188" s="36" t="n"/>
      <c r="E1188" s="38" t="n"/>
      <c r="F1188" s="39" t="n"/>
      <c r="G1188" s="36" t="n"/>
      <c r="H1188" s="40" t="n"/>
      <c r="I1188" s="40" t="n"/>
      <c r="J1188" s="41">
        <f>IF(ISNUMBER(H1188),H1188,IF(AND(D1188="労務費",TRIM(E1188)&lt;&gt;""),IFERROR(INDEX('設定'!$G$12:$G$31,MATCH(TRIM(E1188),'設定'!$J$12:$J$31,0)),""),""))</f>
        <v/>
      </c>
      <c r="K1188" s="30">
        <f>IF(AND(ISNUMBER(F1188),ISNUMBER(J1188)),ROUND(F1188*J1188,0),IF(ISNUMBER(I1188),I1188,""))</f>
        <v/>
      </c>
      <c r="L1188" s="33" t="n"/>
      <c r="M1188" s="34">
        <f>IF(COUNTA(A1188:B1188,D1188:I1188,L1188)=0,"",IF(B1188="","案件番号がありません",IF(ISNA(MATCH(B1188,'案件'!$A$6:$A$105,0)),"案件シートに無い番号です",IF(NOT(OR(D1188="材料費",D1188="労務費",D1188="外注費",D1188="経費")),"費目を4つから選んでください",IF(K1188="",IF(AND(ISNUMBER(F1188),NOT(ISNUMBER(J1188))),IF(D1188="労務費","単価がありません（設定の作業者名と同じ書き方に）","単価がありません"),IF(AND(ISNUMBER(J1188),NOT(ISNUMBER(F1188))),"数量がありません","金額がありません")),IF(NOT(ISNUMBER(A1188)),"日付がありません（月別集計に入りません）",IF(AND(ISNUMBER(F1188),ISNUMBER(J1188),ISNUMBER(I1188)),"数量×単価を使いました（金額の欄は使っていません）","")))))))</f>
        <v/>
      </c>
      <c r="N1188" s="91">
        <f>IF(AND(B1188&lt;&gt;"",B1188='案件カード'!$C$3),COUNTIF($B$5:B1188,'案件カード'!$C$3),"")</f>
        <v/>
      </c>
      <c r="O1188" s="91">
        <f>IF(ISNUMBER(K1188),IF(B1188="",K1188,IF(AND(ISNUMBER(MATCH(B1188,'案件'!$A$6:$A$105,0)),OR(D1188="材料費",D1188="労務費",D1188="外注費",D1188="経費")),0,K1188)),0)</f>
        <v/>
      </c>
    </row>
    <row r="1189" ht="16" customHeight="1">
      <c r="A1189" s="35" t="n"/>
      <c r="B1189" s="36" t="n"/>
      <c r="C1189" s="37">
        <f>IF(B1189="","",IFERROR(INDEX('案件'!$B$6:$B$105,MATCH(B1189,'案件'!$A$6:$A$105,0))&amp;"","（案件シートに無い番号）"))</f>
        <v/>
      </c>
      <c r="D1189" s="36" t="n"/>
      <c r="E1189" s="38" t="n"/>
      <c r="F1189" s="39" t="n"/>
      <c r="G1189" s="36" t="n"/>
      <c r="H1189" s="40" t="n"/>
      <c r="I1189" s="40" t="n"/>
      <c r="J1189" s="41">
        <f>IF(ISNUMBER(H1189),H1189,IF(AND(D1189="労務費",TRIM(E1189)&lt;&gt;""),IFERROR(INDEX('設定'!$G$12:$G$31,MATCH(TRIM(E1189),'設定'!$J$12:$J$31,0)),""),""))</f>
        <v/>
      </c>
      <c r="K1189" s="30">
        <f>IF(AND(ISNUMBER(F1189),ISNUMBER(J1189)),ROUND(F1189*J1189,0),IF(ISNUMBER(I1189),I1189,""))</f>
        <v/>
      </c>
      <c r="L1189" s="33" t="n"/>
      <c r="M1189" s="34">
        <f>IF(COUNTA(A1189:B1189,D1189:I1189,L1189)=0,"",IF(B1189="","案件番号がありません",IF(ISNA(MATCH(B1189,'案件'!$A$6:$A$105,0)),"案件シートに無い番号です",IF(NOT(OR(D1189="材料費",D1189="労務費",D1189="外注費",D1189="経費")),"費目を4つから選んでください",IF(K1189="",IF(AND(ISNUMBER(F1189),NOT(ISNUMBER(J1189))),IF(D1189="労務費","単価がありません（設定の作業者名と同じ書き方に）","単価がありません"),IF(AND(ISNUMBER(J1189),NOT(ISNUMBER(F1189))),"数量がありません","金額がありません")),IF(NOT(ISNUMBER(A1189)),"日付がありません（月別集計に入りません）",IF(AND(ISNUMBER(F1189),ISNUMBER(J1189),ISNUMBER(I1189)),"数量×単価を使いました（金額の欄は使っていません）","")))))))</f>
        <v/>
      </c>
      <c r="N1189" s="91">
        <f>IF(AND(B1189&lt;&gt;"",B1189='案件カード'!$C$3),COUNTIF($B$5:B1189,'案件カード'!$C$3),"")</f>
        <v/>
      </c>
      <c r="O1189" s="91">
        <f>IF(ISNUMBER(K1189),IF(B1189="",K1189,IF(AND(ISNUMBER(MATCH(B1189,'案件'!$A$6:$A$105,0)),OR(D1189="材料費",D1189="労務費",D1189="外注費",D1189="経費")),0,K1189)),0)</f>
        <v/>
      </c>
    </row>
    <row r="1190" ht="16" customHeight="1">
      <c r="A1190" s="35" t="n"/>
      <c r="B1190" s="36" t="n"/>
      <c r="C1190" s="37">
        <f>IF(B1190="","",IFERROR(INDEX('案件'!$B$6:$B$105,MATCH(B1190,'案件'!$A$6:$A$105,0))&amp;"","（案件シートに無い番号）"))</f>
        <v/>
      </c>
      <c r="D1190" s="36" t="n"/>
      <c r="E1190" s="38" t="n"/>
      <c r="F1190" s="39" t="n"/>
      <c r="G1190" s="36" t="n"/>
      <c r="H1190" s="40" t="n"/>
      <c r="I1190" s="40" t="n"/>
      <c r="J1190" s="41">
        <f>IF(ISNUMBER(H1190),H1190,IF(AND(D1190="労務費",TRIM(E1190)&lt;&gt;""),IFERROR(INDEX('設定'!$G$12:$G$31,MATCH(TRIM(E1190),'設定'!$J$12:$J$31,0)),""),""))</f>
        <v/>
      </c>
      <c r="K1190" s="30">
        <f>IF(AND(ISNUMBER(F1190),ISNUMBER(J1190)),ROUND(F1190*J1190,0),IF(ISNUMBER(I1190),I1190,""))</f>
        <v/>
      </c>
      <c r="L1190" s="33" t="n"/>
      <c r="M1190" s="34">
        <f>IF(COUNTA(A1190:B1190,D1190:I1190,L1190)=0,"",IF(B1190="","案件番号がありません",IF(ISNA(MATCH(B1190,'案件'!$A$6:$A$105,0)),"案件シートに無い番号です",IF(NOT(OR(D1190="材料費",D1190="労務費",D1190="外注費",D1190="経費")),"費目を4つから選んでください",IF(K1190="",IF(AND(ISNUMBER(F1190),NOT(ISNUMBER(J1190))),IF(D1190="労務費","単価がありません（設定の作業者名と同じ書き方に）","単価がありません"),IF(AND(ISNUMBER(J1190),NOT(ISNUMBER(F1190))),"数量がありません","金額がありません")),IF(NOT(ISNUMBER(A1190)),"日付がありません（月別集計に入りません）",IF(AND(ISNUMBER(F1190),ISNUMBER(J1190),ISNUMBER(I1190)),"数量×単価を使いました（金額の欄は使っていません）","")))))))</f>
        <v/>
      </c>
      <c r="N1190" s="91">
        <f>IF(AND(B1190&lt;&gt;"",B1190='案件カード'!$C$3),COUNTIF($B$5:B1190,'案件カード'!$C$3),"")</f>
        <v/>
      </c>
      <c r="O1190" s="91">
        <f>IF(ISNUMBER(K1190),IF(B1190="",K1190,IF(AND(ISNUMBER(MATCH(B1190,'案件'!$A$6:$A$105,0)),OR(D1190="材料費",D1190="労務費",D1190="外注費",D1190="経費")),0,K1190)),0)</f>
        <v/>
      </c>
    </row>
    <row r="1191" ht="16" customHeight="1">
      <c r="A1191" s="35" t="n"/>
      <c r="B1191" s="36" t="n"/>
      <c r="C1191" s="37">
        <f>IF(B1191="","",IFERROR(INDEX('案件'!$B$6:$B$105,MATCH(B1191,'案件'!$A$6:$A$105,0))&amp;"","（案件シートに無い番号）"))</f>
        <v/>
      </c>
      <c r="D1191" s="36" t="n"/>
      <c r="E1191" s="38" t="n"/>
      <c r="F1191" s="39" t="n"/>
      <c r="G1191" s="36" t="n"/>
      <c r="H1191" s="40" t="n"/>
      <c r="I1191" s="40" t="n"/>
      <c r="J1191" s="41">
        <f>IF(ISNUMBER(H1191),H1191,IF(AND(D1191="労務費",TRIM(E1191)&lt;&gt;""),IFERROR(INDEX('設定'!$G$12:$G$31,MATCH(TRIM(E1191),'設定'!$J$12:$J$31,0)),""),""))</f>
        <v/>
      </c>
      <c r="K1191" s="30">
        <f>IF(AND(ISNUMBER(F1191),ISNUMBER(J1191)),ROUND(F1191*J1191,0),IF(ISNUMBER(I1191),I1191,""))</f>
        <v/>
      </c>
      <c r="L1191" s="33" t="n"/>
      <c r="M1191" s="34">
        <f>IF(COUNTA(A1191:B1191,D1191:I1191,L1191)=0,"",IF(B1191="","案件番号がありません",IF(ISNA(MATCH(B1191,'案件'!$A$6:$A$105,0)),"案件シートに無い番号です",IF(NOT(OR(D1191="材料費",D1191="労務費",D1191="外注費",D1191="経費")),"費目を4つから選んでください",IF(K1191="",IF(AND(ISNUMBER(F1191),NOT(ISNUMBER(J1191))),IF(D1191="労務費","単価がありません（設定の作業者名と同じ書き方に）","単価がありません"),IF(AND(ISNUMBER(J1191),NOT(ISNUMBER(F1191))),"数量がありません","金額がありません")),IF(NOT(ISNUMBER(A1191)),"日付がありません（月別集計に入りません）",IF(AND(ISNUMBER(F1191),ISNUMBER(J1191),ISNUMBER(I1191)),"数量×単価を使いました（金額の欄は使っていません）","")))))))</f>
        <v/>
      </c>
      <c r="N1191" s="91">
        <f>IF(AND(B1191&lt;&gt;"",B1191='案件カード'!$C$3),COUNTIF($B$5:B1191,'案件カード'!$C$3),"")</f>
        <v/>
      </c>
      <c r="O1191" s="91">
        <f>IF(ISNUMBER(K1191),IF(B1191="",K1191,IF(AND(ISNUMBER(MATCH(B1191,'案件'!$A$6:$A$105,0)),OR(D1191="材料費",D1191="労務費",D1191="外注費",D1191="経費")),0,K1191)),0)</f>
        <v/>
      </c>
    </row>
    <row r="1192" ht="16" customHeight="1">
      <c r="A1192" s="35" t="n"/>
      <c r="B1192" s="36" t="n"/>
      <c r="C1192" s="37">
        <f>IF(B1192="","",IFERROR(INDEX('案件'!$B$6:$B$105,MATCH(B1192,'案件'!$A$6:$A$105,0))&amp;"","（案件シートに無い番号）"))</f>
        <v/>
      </c>
      <c r="D1192" s="36" t="n"/>
      <c r="E1192" s="38" t="n"/>
      <c r="F1192" s="39" t="n"/>
      <c r="G1192" s="36" t="n"/>
      <c r="H1192" s="40" t="n"/>
      <c r="I1192" s="40" t="n"/>
      <c r="J1192" s="41">
        <f>IF(ISNUMBER(H1192),H1192,IF(AND(D1192="労務費",TRIM(E1192)&lt;&gt;""),IFERROR(INDEX('設定'!$G$12:$G$31,MATCH(TRIM(E1192),'設定'!$J$12:$J$31,0)),""),""))</f>
        <v/>
      </c>
      <c r="K1192" s="30">
        <f>IF(AND(ISNUMBER(F1192),ISNUMBER(J1192)),ROUND(F1192*J1192,0),IF(ISNUMBER(I1192),I1192,""))</f>
        <v/>
      </c>
      <c r="L1192" s="33" t="n"/>
      <c r="M1192" s="34">
        <f>IF(COUNTA(A1192:B1192,D1192:I1192,L1192)=0,"",IF(B1192="","案件番号がありません",IF(ISNA(MATCH(B1192,'案件'!$A$6:$A$105,0)),"案件シートに無い番号です",IF(NOT(OR(D1192="材料費",D1192="労務費",D1192="外注費",D1192="経費")),"費目を4つから選んでください",IF(K1192="",IF(AND(ISNUMBER(F1192),NOT(ISNUMBER(J1192))),IF(D1192="労務費","単価がありません（設定の作業者名と同じ書き方に）","単価がありません"),IF(AND(ISNUMBER(J1192),NOT(ISNUMBER(F1192))),"数量がありません","金額がありません")),IF(NOT(ISNUMBER(A1192)),"日付がありません（月別集計に入りません）",IF(AND(ISNUMBER(F1192),ISNUMBER(J1192),ISNUMBER(I1192)),"数量×単価を使いました（金額の欄は使っていません）","")))))))</f>
        <v/>
      </c>
      <c r="N1192" s="91">
        <f>IF(AND(B1192&lt;&gt;"",B1192='案件カード'!$C$3),COUNTIF($B$5:B1192,'案件カード'!$C$3),"")</f>
        <v/>
      </c>
      <c r="O1192" s="91">
        <f>IF(ISNUMBER(K1192),IF(B1192="",K1192,IF(AND(ISNUMBER(MATCH(B1192,'案件'!$A$6:$A$105,0)),OR(D1192="材料費",D1192="労務費",D1192="外注費",D1192="経費")),0,K1192)),0)</f>
        <v/>
      </c>
    </row>
    <row r="1193" ht="16" customHeight="1">
      <c r="A1193" s="35" t="n"/>
      <c r="B1193" s="36" t="n"/>
      <c r="C1193" s="37">
        <f>IF(B1193="","",IFERROR(INDEX('案件'!$B$6:$B$105,MATCH(B1193,'案件'!$A$6:$A$105,0))&amp;"","（案件シートに無い番号）"))</f>
        <v/>
      </c>
      <c r="D1193" s="36" t="n"/>
      <c r="E1193" s="38" t="n"/>
      <c r="F1193" s="39" t="n"/>
      <c r="G1193" s="36" t="n"/>
      <c r="H1193" s="40" t="n"/>
      <c r="I1193" s="40" t="n"/>
      <c r="J1193" s="41">
        <f>IF(ISNUMBER(H1193),H1193,IF(AND(D1193="労務費",TRIM(E1193)&lt;&gt;""),IFERROR(INDEX('設定'!$G$12:$G$31,MATCH(TRIM(E1193),'設定'!$J$12:$J$31,0)),""),""))</f>
        <v/>
      </c>
      <c r="K1193" s="30">
        <f>IF(AND(ISNUMBER(F1193),ISNUMBER(J1193)),ROUND(F1193*J1193,0),IF(ISNUMBER(I1193),I1193,""))</f>
        <v/>
      </c>
      <c r="L1193" s="33" t="n"/>
      <c r="M1193" s="34">
        <f>IF(COUNTA(A1193:B1193,D1193:I1193,L1193)=0,"",IF(B1193="","案件番号がありません",IF(ISNA(MATCH(B1193,'案件'!$A$6:$A$105,0)),"案件シートに無い番号です",IF(NOT(OR(D1193="材料費",D1193="労務費",D1193="外注費",D1193="経費")),"費目を4つから選んでください",IF(K1193="",IF(AND(ISNUMBER(F1193),NOT(ISNUMBER(J1193))),IF(D1193="労務費","単価がありません（設定の作業者名と同じ書き方に）","単価がありません"),IF(AND(ISNUMBER(J1193),NOT(ISNUMBER(F1193))),"数量がありません","金額がありません")),IF(NOT(ISNUMBER(A1193)),"日付がありません（月別集計に入りません）",IF(AND(ISNUMBER(F1193),ISNUMBER(J1193),ISNUMBER(I1193)),"数量×単価を使いました（金額の欄は使っていません）","")))))))</f>
        <v/>
      </c>
      <c r="N1193" s="91">
        <f>IF(AND(B1193&lt;&gt;"",B1193='案件カード'!$C$3),COUNTIF($B$5:B1193,'案件カード'!$C$3),"")</f>
        <v/>
      </c>
      <c r="O1193" s="91">
        <f>IF(ISNUMBER(K1193),IF(B1193="",K1193,IF(AND(ISNUMBER(MATCH(B1193,'案件'!$A$6:$A$105,0)),OR(D1193="材料費",D1193="労務費",D1193="外注費",D1193="経費")),0,K1193)),0)</f>
        <v/>
      </c>
    </row>
    <row r="1194" ht="16" customHeight="1">
      <c r="A1194" s="35" t="n"/>
      <c r="B1194" s="36" t="n"/>
      <c r="C1194" s="37">
        <f>IF(B1194="","",IFERROR(INDEX('案件'!$B$6:$B$105,MATCH(B1194,'案件'!$A$6:$A$105,0))&amp;"","（案件シートに無い番号）"))</f>
        <v/>
      </c>
      <c r="D1194" s="36" t="n"/>
      <c r="E1194" s="38" t="n"/>
      <c r="F1194" s="39" t="n"/>
      <c r="G1194" s="36" t="n"/>
      <c r="H1194" s="40" t="n"/>
      <c r="I1194" s="40" t="n"/>
      <c r="J1194" s="41">
        <f>IF(ISNUMBER(H1194),H1194,IF(AND(D1194="労務費",TRIM(E1194)&lt;&gt;""),IFERROR(INDEX('設定'!$G$12:$G$31,MATCH(TRIM(E1194),'設定'!$J$12:$J$31,0)),""),""))</f>
        <v/>
      </c>
      <c r="K1194" s="30">
        <f>IF(AND(ISNUMBER(F1194),ISNUMBER(J1194)),ROUND(F1194*J1194,0),IF(ISNUMBER(I1194),I1194,""))</f>
        <v/>
      </c>
      <c r="L1194" s="33" t="n"/>
      <c r="M1194" s="34">
        <f>IF(COUNTA(A1194:B1194,D1194:I1194,L1194)=0,"",IF(B1194="","案件番号がありません",IF(ISNA(MATCH(B1194,'案件'!$A$6:$A$105,0)),"案件シートに無い番号です",IF(NOT(OR(D1194="材料費",D1194="労務費",D1194="外注費",D1194="経費")),"費目を4つから選んでください",IF(K1194="",IF(AND(ISNUMBER(F1194),NOT(ISNUMBER(J1194))),IF(D1194="労務費","単価がありません（設定の作業者名と同じ書き方に）","単価がありません"),IF(AND(ISNUMBER(J1194),NOT(ISNUMBER(F1194))),"数量がありません","金額がありません")),IF(NOT(ISNUMBER(A1194)),"日付がありません（月別集計に入りません）",IF(AND(ISNUMBER(F1194),ISNUMBER(J1194),ISNUMBER(I1194)),"数量×単価を使いました（金額の欄は使っていません）","")))))))</f>
        <v/>
      </c>
      <c r="N1194" s="91">
        <f>IF(AND(B1194&lt;&gt;"",B1194='案件カード'!$C$3),COUNTIF($B$5:B1194,'案件カード'!$C$3),"")</f>
        <v/>
      </c>
      <c r="O1194" s="91">
        <f>IF(ISNUMBER(K1194),IF(B1194="",K1194,IF(AND(ISNUMBER(MATCH(B1194,'案件'!$A$6:$A$105,0)),OR(D1194="材料費",D1194="労務費",D1194="外注費",D1194="経費")),0,K1194)),0)</f>
        <v/>
      </c>
    </row>
    <row r="1195" ht="16" customHeight="1">
      <c r="A1195" s="35" t="n"/>
      <c r="B1195" s="36" t="n"/>
      <c r="C1195" s="37">
        <f>IF(B1195="","",IFERROR(INDEX('案件'!$B$6:$B$105,MATCH(B1195,'案件'!$A$6:$A$105,0))&amp;"","（案件シートに無い番号）"))</f>
        <v/>
      </c>
      <c r="D1195" s="36" t="n"/>
      <c r="E1195" s="38" t="n"/>
      <c r="F1195" s="39" t="n"/>
      <c r="G1195" s="36" t="n"/>
      <c r="H1195" s="40" t="n"/>
      <c r="I1195" s="40" t="n"/>
      <c r="J1195" s="41">
        <f>IF(ISNUMBER(H1195),H1195,IF(AND(D1195="労務費",TRIM(E1195)&lt;&gt;""),IFERROR(INDEX('設定'!$G$12:$G$31,MATCH(TRIM(E1195),'設定'!$J$12:$J$31,0)),""),""))</f>
        <v/>
      </c>
      <c r="K1195" s="30">
        <f>IF(AND(ISNUMBER(F1195),ISNUMBER(J1195)),ROUND(F1195*J1195,0),IF(ISNUMBER(I1195),I1195,""))</f>
        <v/>
      </c>
      <c r="L1195" s="33" t="n"/>
      <c r="M1195" s="34">
        <f>IF(COUNTA(A1195:B1195,D1195:I1195,L1195)=0,"",IF(B1195="","案件番号がありません",IF(ISNA(MATCH(B1195,'案件'!$A$6:$A$105,0)),"案件シートに無い番号です",IF(NOT(OR(D1195="材料費",D1195="労務費",D1195="外注費",D1195="経費")),"費目を4つから選んでください",IF(K1195="",IF(AND(ISNUMBER(F1195),NOT(ISNUMBER(J1195))),IF(D1195="労務費","単価がありません（設定の作業者名と同じ書き方に）","単価がありません"),IF(AND(ISNUMBER(J1195),NOT(ISNUMBER(F1195))),"数量がありません","金額がありません")),IF(NOT(ISNUMBER(A1195)),"日付がありません（月別集計に入りません）",IF(AND(ISNUMBER(F1195),ISNUMBER(J1195),ISNUMBER(I1195)),"数量×単価を使いました（金額の欄は使っていません）","")))))))</f>
        <v/>
      </c>
      <c r="N1195" s="91">
        <f>IF(AND(B1195&lt;&gt;"",B1195='案件カード'!$C$3),COUNTIF($B$5:B1195,'案件カード'!$C$3),"")</f>
        <v/>
      </c>
      <c r="O1195" s="91">
        <f>IF(ISNUMBER(K1195),IF(B1195="",K1195,IF(AND(ISNUMBER(MATCH(B1195,'案件'!$A$6:$A$105,0)),OR(D1195="材料費",D1195="労務費",D1195="外注費",D1195="経費")),0,K1195)),0)</f>
        <v/>
      </c>
    </row>
    <row r="1196" ht="16" customHeight="1">
      <c r="A1196" s="35" t="n"/>
      <c r="B1196" s="36" t="n"/>
      <c r="C1196" s="37">
        <f>IF(B1196="","",IFERROR(INDEX('案件'!$B$6:$B$105,MATCH(B1196,'案件'!$A$6:$A$105,0))&amp;"","（案件シートに無い番号）"))</f>
        <v/>
      </c>
      <c r="D1196" s="36" t="n"/>
      <c r="E1196" s="38" t="n"/>
      <c r="F1196" s="39" t="n"/>
      <c r="G1196" s="36" t="n"/>
      <c r="H1196" s="40" t="n"/>
      <c r="I1196" s="40" t="n"/>
      <c r="J1196" s="41">
        <f>IF(ISNUMBER(H1196),H1196,IF(AND(D1196="労務費",TRIM(E1196)&lt;&gt;""),IFERROR(INDEX('設定'!$G$12:$G$31,MATCH(TRIM(E1196),'設定'!$J$12:$J$31,0)),""),""))</f>
        <v/>
      </c>
      <c r="K1196" s="30">
        <f>IF(AND(ISNUMBER(F1196),ISNUMBER(J1196)),ROUND(F1196*J1196,0),IF(ISNUMBER(I1196),I1196,""))</f>
        <v/>
      </c>
      <c r="L1196" s="33" t="n"/>
      <c r="M1196" s="34">
        <f>IF(COUNTA(A1196:B1196,D1196:I1196,L1196)=0,"",IF(B1196="","案件番号がありません",IF(ISNA(MATCH(B1196,'案件'!$A$6:$A$105,0)),"案件シートに無い番号です",IF(NOT(OR(D1196="材料費",D1196="労務費",D1196="外注費",D1196="経費")),"費目を4つから選んでください",IF(K1196="",IF(AND(ISNUMBER(F1196),NOT(ISNUMBER(J1196))),IF(D1196="労務費","単価がありません（設定の作業者名と同じ書き方に）","単価がありません"),IF(AND(ISNUMBER(J1196),NOT(ISNUMBER(F1196))),"数量がありません","金額がありません")),IF(NOT(ISNUMBER(A1196)),"日付がありません（月別集計に入りません）",IF(AND(ISNUMBER(F1196),ISNUMBER(J1196),ISNUMBER(I1196)),"数量×単価を使いました（金額の欄は使っていません）","")))))))</f>
        <v/>
      </c>
      <c r="N1196" s="91">
        <f>IF(AND(B1196&lt;&gt;"",B1196='案件カード'!$C$3),COUNTIF($B$5:B1196,'案件カード'!$C$3),"")</f>
        <v/>
      </c>
      <c r="O1196" s="91">
        <f>IF(ISNUMBER(K1196),IF(B1196="",K1196,IF(AND(ISNUMBER(MATCH(B1196,'案件'!$A$6:$A$105,0)),OR(D1196="材料費",D1196="労務費",D1196="外注費",D1196="経費")),0,K1196)),0)</f>
        <v/>
      </c>
    </row>
    <row r="1197" ht="16" customHeight="1">
      <c r="A1197" s="35" t="n"/>
      <c r="B1197" s="36" t="n"/>
      <c r="C1197" s="37">
        <f>IF(B1197="","",IFERROR(INDEX('案件'!$B$6:$B$105,MATCH(B1197,'案件'!$A$6:$A$105,0))&amp;"","（案件シートに無い番号）"))</f>
        <v/>
      </c>
      <c r="D1197" s="36" t="n"/>
      <c r="E1197" s="38" t="n"/>
      <c r="F1197" s="39" t="n"/>
      <c r="G1197" s="36" t="n"/>
      <c r="H1197" s="40" t="n"/>
      <c r="I1197" s="40" t="n"/>
      <c r="J1197" s="41">
        <f>IF(ISNUMBER(H1197),H1197,IF(AND(D1197="労務費",TRIM(E1197)&lt;&gt;""),IFERROR(INDEX('設定'!$G$12:$G$31,MATCH(TRIM(E1197),'設定'!$J$12:$J$31,0)),""),""))</f>
        <v/>
      </c>
      <c r="K1197" s="30">
        <f>IF(AND(ISNUMBER(F1197),ISNUMBER(J1197)),ROUND(F1197*J1197,0),IF(ISNUMBER(I1197),I1197,""))</f>
        <v/>
      </c>
      <c r="L1197" s="33" t="n"/>
      <c r="M1197" s="34">
        <f>IF(COUNTA(A1197:B1197,D1197:I1197,L1197)=0,"",IF(B1197="","案件番号がありません",IF(ISNA(MATCH(B1197,'案件'!$A$6:$A$105,0)),"案件シートに無い番号です",IF(NOT(OR(D1197="材料費",D1197="労務費",D1197="外注費",D1197="経費")),"費目を4つから選んでください",IF(K1197="",IF(AND(ISNUMBER(F1197),NOT(ISNUMBER(J1197))),IF(D1197="労務費","単価がありません（設定の作業者名と同じ書き方に）","単価がありません"),IF(AND(ISNUMBER(J1197),NOT(ISNUMBER(F1197))),"数量がありません","金額がありません")),IF(NOT(ISNUMBER(A1197)),"日付がありません（月別集計に入りません）",IF(AND(ISNUMBER(F1197),ISNUMBER(J1197),ISNUMBER(I1197)),"数量×単価を使いました（金額の欄は使っていません）","")))))))</f>
        <v/>
      </c>
      <c r="N1197" s="91">
        <f>IF(AND(B1197&lt;&gt;"",B1197='案件カード'!$C$3),COUNTIF($B$5:B1197,'案件カード'!$C$3),"")</f>
        <v/>
      </c>
      <c r="O1197" s="91">
        <f>IF(ISNUMBER(K1197),IF(B1197="",K1197,IF(AND(ISNUMBER(MATCH(B1197,'案件'!$A$6:$A$105,0)),OR(D1197="材料費",D1197="労務費",D1197="外注費",D1197="経費")),0,K1197)),0)</f>
        <v/>
      </c>
    </row>
    <row r="1198" ht="16" customHeight="1">
      <c r="A1198" s="35" t="n"/>
      <c r="B1198" s="36" t="n"/>
      <c r="C1198" s="37">
        <f>IF(B1198="","",IFERROR(INDEX('案件'!$B$6:$B$105,MATCH(B1198,'案件'!$A$6:$A$105,0))&amp;"","（案件シートに無い番号）"))</f>
        <v/>
      </c>
      <c r="D1198" s="36" t="n"/>
      <c r="E1198" s="38" t="n"/>
      <c r="F1198" s="39" t="n"/>
      <c r="G1198" s="36" t="n"/>
      <c r="H1198" s="40" t="n"/>
      <c r="I1198" s="40" t="n"/>
      <c r="J1198" s="41">
        <f>IF(ISNUMBER(H1198),H1198,IF(AND(D1198="労務費",TRIM(E1198)&lt;&gt;""),IFERROR(INDEX('設定'!$G$12:$G$31,MATCH(TRIM(E1198),'設定'!$J$12:$J$31,0)),""),""))</f>
        <v/>
      </c>
      <c r="K1198" s="30">
        <f>IF(AND(ISNUMBER(F1198),ISNUMBER(J1198)),ROUND(F1198*J1198,0),IF(ISNUMBER(I1198),I1198,""))</f>
        <v/>
      </c>
      <c r="L1198" s="33" t="n"/>
      <c r="M1198" s="34">
        <f>IF(COUNTA(A1198:B1198,D1198:I1198,L1198)=0,"",IF(B1198="","案件番号がありません",IF(ISNA(MATCH(B1198,'案件'!$A$6:$A$105,0)),"案件シートに無い番号です",IF(NOT(OR(D1198="材料費",D1198="労務費",D1198="外注費",D1198="経費")),"費目を4つから選んでください",IF(K1198="",IF(AND(ISNUMBER(F1198),NOT(ISNUMBER(J1198))),IF(D1198="労務費","単価がありません（設定の作業者名と同じ書き方に）","単価がありません"),IF(AND(ISNUMBER(J1198),NOT(ISNUMBER(F1198))),"数量がありません","金額がありません")),IF(NOT(ISNUMBER(A1198)),"日付がありません（月別集計に入りません）",IF(AND(ISNUMBER(F1198),ISNUMBER(J1198),ISNUMBER(I1198)),"数量×単価を使いました（金額の欄は使っていません）","")))))))</f>
        <v/>
      </c>
      <c r="N1198" s="91">
        <f>IF(AND(B1198&lt;&gt;"",B1198='案件カード'!$C$3),COUNTIF($B$5:B1198,'案件カード'!$C$3),"")</f>
        <v/>
      </c>
      <c r="O1198" s="91">
        <f>IF(ISNUMBER(K1198),IF(B1198="",K1198,IF(AND(ISNUMBER(MATCH(B1198,'案件'!$A$6:$A$105,0)),OR(D1198="材料費",D1198="労務費",D1198="外注費",D1198="経費")),0,K1198)),0)</f>
        <v/>
      </c>
    </row>
    <row r="1199" ht="16" customHeight="1">
      <c r="A1199" s="35" t="n"/>
      <c r="B1199" s="36" t="n"/>
      <c r="C1199" s="37">
        <f>IF(B1199="","",IFERROR(INDEX('案件'!$B$6:$B$105,MATCH(B1199,'案件'!$A$6:$A$105,0))&amp;"","（案件シートに無い番号）"))</f>
        <v/>
      </c>
      <c r="D1199" s="36" t="n"/>
      <c r="E1199" s="38" t="n"/>
      <c r="F1199" s="39" t="n"/>
      <c r="G1199" s="36" t="n"/>
      <c r="H1199" s="40" t="n"/>
      <c r="I1199" s="40" t="n"/>
      <c r="J1199" s="41">
        <f>IF(ISNUMBER(H1199),H1199,IF(AND(D1199="労務費",TRIM(E1199)&lt;&gt;""),IFERROR(INDEX('設定'!$G$12:$G$31,MATCH(TRIM(E1199),'設定'!$J$12:$J$31,0)),""),""))</f>
        <v/>
      </c>
      <c r="K1199" s="30">
        <f>IF(AND(ISNUMBER(F1199),ISNUMBER(J1199)),ROUND(F1199*J1199,0),IF(ISNUMBER(I1199),I1199,""))</f>
        <v/>
      </c>
      <c r="L1199" s="33" t="n"/>
      <c r="M1199" s="34">
        <f>IF(COUNTA(A1199:B1199,D1199:I1199,L1199)=0,"",IF(B1199="","案件番号がありません",IF(ISNA(MATCH(B1199,'案件'!$A$6:$A$105,0)),"案件シートに無い番号です",IF(NOT(OR(D1199="材料費",D1199="労務費",D1199="外注費",D1199="経費")),"費目を4つから選んでください",IF(K1199="",IF(AND(ISNUMBER(F1199),NOT(ISNUMBER(J1199))),IF(D1199="労務費","単価がありません（設定の作業者名と同じ書き方に）","単価がありません"),IF(AND(ISNUMBER(J1199),NOT(ISNUMBER(F1199))),"数量がありません","金額がありません")),IF(NOT(ISNUMBER(A1199)),"日付がありません（月別集計に入りません）",IF(AND(ISNUMBER(F1199),ISNUMBER(J1199),ISNUMBER(I1199)),"数量×単価を使いました（金額の欄は使っていません）","")))))))</f>
        <v/>
      </c>
      <c r="N1199" s="91">
        <f>IF(AND(B1199&lt;&gt;"",B1199='案件カード'!$C$3),COUNTIF($B$5:B1199,'案件カード'!$C$3),"")</f>
        <v/>
      </c>
      <c r="O1199" s="91">
        <f>IF(ISNUMBER(K1199),IF(B1199="",K1199,IF(AND(ISNUMBER(MATCH(B1199,'案件'!$A$6:$A$105,0)),OR(D1199="材料費",D1199="労務費",D1199="外注費",D1199="経費")),0,K1199)),0)</f>
        <v/>
      </c>
    </row>
    <row r="1200" ht="16" customHeight="1">
      <c r="A1200" s="35" t="n"/>
      <c r="B1200" s="36" t="n"/>
      <c r="C1200" s="37">
        <f>IF(B1200="","",IFERROR(INDEX('案件'!$B$6:$B$105,MATCH(B1200,'案件'!$A$6:$A$105,0))&amp;"","（案件シートに無い番号）"))</f>
        <v/>
      </c>
      <c r="D1200" s="36" t="n"/>
      <c r="E1200" s="38" t="n"/>
      <c r="F1200" s="39" t="n"/>
      <c r="G1200" s="36" t="n"/>
      <c r="H1200" s="40" t="n"/>
      <c r="I1200" s="40" t="n"/>
      <c r="J1200" s="41">
        <f>IF(ISNUMBER(H1200),H1200,IF(AND(D1200="労務費",TRIM(E1200)&lt;&gt;""),IFERROR(INDEX('設定'!$G$12:$G$31,MATCH(TRIM(E1200),'設定'!$J$12:$J$31,0)),""),""))</f>
        <v/>
      </c>
      <c r="K1200" s="30">
        <f>IF(AND(ISNUMBER(F1200),ISNUMBER(J1200)),ROUND(F1200*J1200,0),IF(ISNUMBER(I1200),I1200,""))</f>
        <v/>
      </c>
      <c r="L1200" s="33" t="n"/>
      <c r="M1200" s="34">
        <f>IF(COUNTA(A1200:B1200,D1200:I1200,L1200)=0,"",IF(B1200="","案件番号がありません",IF(ISNA(MATCH(B1200,'案件'!$A$6:$A$105,0)),"案件シートに無い番号です",IF(NOT(OR(D1200="材料費",D1200="労務費",D1200="外注費",D1200="経費")),"費目を4つから選んでください",IF(K1200="",IF(AND(ISNUMBER(F1200),NOT(ISNUMBER(J1200))),IF(D1200="労務費","単価がありません（設定の作業者名と同じ書き方に）","単価がありません"),IF(AND(ISNUMBER(J1200),NOT(ISNUMBER(F1200))),"数量がありません","金額がありません")),IF(NOT(ISNUMBER(A1200)),"日付がありません（月別集計に入りません）",IF(AND(ISNUMBER(F1200),ISNUMBER(J1200),ISNUMBER(I1200)),"数量×単価を使いました（金額の欄は使っていません）","")))))))</f>
        <v/>
      </c>
      <c r="N1200" s="91">
        <f>IF(AND(B1200&lt;&gt;"",B1200='案件カード'!$C$3),COUNTIF($B$5:B1200,'案件カード'!$C$3),"")</f>
        <v/>
      </c>
      <c r="O1200" s="91">
        <f>IF(ISNUMBER(K1200),IF(B1200="",K1200,IF(AND(ISNUMBER(MATCH(B1200,'案件'!$A$6:$A$105,0)),OR(D1200="材料費",D1200="労務費",D1200="外注費",D1200="経費")),0,K1200)),0)</f>
        <v/>
      </c>
    </row>
    <row r="1201" ht="16" customHeight="1">
      <c r="A1201" s="35" t="n"/>
      <c r="B1201" s="36" t="n"/>
      <c r="C1201" s="37">
        <f>IF(B1201="","",IFERROR(INDEX('案件'!$B$6:$B$105,MATCH(B1201,'案件'!$A$6:$A$105,0))&amp;"","（案件シートに無い番号）"))</f>
        <v/>
      </c>
      <c r="D1201" s="36" t="n"/>
      <c r="E1201" s="38" t="n"/>
      <c r="F1201" s="39" t="n"/>
      <c r="G1201" s="36" t="n"/>
      <c r="H1201" s="40" t="n"/>
      <c r="I1201" s="40" t="n"/>
      <c r="J1201" s="41">
        <f>IF(ISNUMBER(H1201),H1201,IF(AND(D1201="労務費",TRIM(E1201)&lt;&gt;""),IFERROR(INDEX('設定'!$G$12:$G$31,MATCH(TRIM(E1201),'設定'!$J$12:$J$31,0)),""),""))</f>
        <v/>
      </c>
      <c r="K1201" s="30">
        <f>IF(AND(ISNUMBER(F1201),ISNUMBER(J1201)),ROUND(F1201*J1201,0),IF(ISNUMBER(I1201),I1201,""))</f>
        <v/>
      </c>
      <c r="L1201" s="33" t="n"/>
      <c r="M1201" s="34">
        <f>IF(COUNTA(A1201:B1201,D1201:I1201,L1201)=0,"",IF(B1201="","案件番号がありません",IF(ISNA(MATCH(B1201,'案件'!$A$6:$A$105,0)),"案件シートに無い番号です",IF(NOT(OR(D1201="材料費",D1201="労務費",D1201="外注費",D1201="経費")),"費目を4つから選んでください",IF(K1201="",IF(AND(ISNUMBER(F1201),NOT(ISNUMBER(J1201))),IF(D1201="労務費","単価がありません（設定の作業者名と同じ書き方に）","単価がありません"),IF(AND(ISNUMBER(J1201),NOT(ISNUMBER(F1201))),"数量がありません","金額がありません")),IF(NOT(ISNUMBER(A1201)),"日付がありません（月別集計に入りません）",IF(AND(ISNUMBER(F1201),ISNUMBER(J1201),ISNUMBER(I1201)),"数量×単価を使いました（金額の欄は使っていません）","")))))))</f>
        <v/>
      </c>
      <c r="N1201" s="91">
        <f>IF(AND(B1201&lt;&gt;"",B1201='案件カード'!$C$3),COUNTIF($B$5:B1201,'案件カード'!$C$3),"")</f>
        <v/>
      </c>
      <c r="O1201" s="91">
        <f>IF(ISNUMBER(K1201),IF(B1201="",K1201,IF(AND(ISNUMBER(MATCH(B1201,'案件'!$A$6:$A$105,0)),OR(D1201="材料費",D1201="労務費",D1201="外注費",D1201="経費")),0,K1201)),0)</f>
        <v/>
      </c>
    </row>
    <row r="1202" ht="16" customHeight="1">
      <c r="A1202" s="35" t="n"/>
      <c r="B1202" s="36" t="n"/>
      <c r="C1202" s="37">
        <f>IF(B1202="","",IFERROR(INDEX('案件'!$B$6:$B$105,MATCH(B1202,'案件'!$A$6:$A$105,0))&amp;"","（案件シートに無い番号）"))</f>
        <v/>
      </c>
      <c r="D1202" s="36" t="n"/>
      <c r="E1202" s="38" t="n"/>
      <c r="F1202" s="39" t="n"/>
      <c r="G1202" s="36" t="n"/>
      <c r="H1202" s="40" t="n"/>
      <c r="I1202" s="40" t="n"/>
      <c r="J1202" s="41">
        <f>IF(ISNUMBER(H1202),H1202,IF(AND(D1202="労務費",TRIM(E1202)&lt;&gt;""),IFERROR(INDEX('設定'!$G$12:$G$31,MATCH(TRIM(E1202),'設定'!$J$12:$J$31,0)),""),""))</f>
        <v/>
      </c>
      <c r="K1202" s="30">
        <f>IF(AND(ISNUMBER(F1202),ISNUMBER(J1202)),ROUND(F1202*J1202,0),IF(ISNUMBER(I1202),I1202,""))</f>
        <v/>
      </c>
      <c r="L1202" s="33" t="n"/>
      <c r="M1202" s="34">
        <f>IF(COUNTA(A1202:B1202,D1202:I1202,L1202)=0,"",IF(B1202="","案件番号がありません",IF(ISNA(MATCH(B1202,'案件'!$A$6:$A$105,0)),"案件シートに無い番号です",IF(NOT(OR(D1202="材料費",D1202="労務費",D1202="外注費",D1202="経費")),"費目を4つから選んでください",IF(K1202="",IF(AND(ISNUMBER(F1202),NOT(ISNUMBER(J1202))),IF(D1202="労務費","単価がありません（設定の作業者名と同じ書き方に）","単価がありません"),IF(AND(ISNUMBER(J1202),NOT(ISNUMBER(F1202))),"数量がありません","金額がありません")),IF(NOT(ISNUMBER(A1202)),"日付がありません（月別集計に入りません）",IF(AND(ISNUMBER(F1202),ISNUMBER(J1202),ISNUMBER(I1202)),"数量×単価を使いました（金額の欄は使っていません）","")))))))</f>
        <v/>
      </c>
      <c r="N1202" s="91">
        <f>IF(AND(B1202&lt;&gt;"",B1202='案件カード'!$C$3),COUNTIF($B$5:B1202,'案件カード'!$C$3),"")</f>
        <v/>
      </c>
      <c r="O1202" s="91">
        <f>IF(ISNUMBER(K1202),IF(B1202="",K1202,IF(AND(ISNUMBER(MATCH(B1202,'案件'!$A$6:$A$105,0)),OR(D1202="材料費",D1202="労務費",D1202="外注費",D1202="経費")),0,K1202)),0)</f>
        <v/>
      </c>
    </row>
    <row r="1203" ht="16" customHeight="1">
      <c r="A1203" s="35" t="n"/>
      <c r="B1203" s="36" t="n"/>
      <c r="C1203" s="37">
        <f>IF(B1203="","",IFERROR(INDEX('案件'!$B$6:$B$105,MATCH(B1203,'案件'!$A$6:$A$105,0))&amp;"","（案件シートに無い番号）"))</f>
        <v/>
      </c>
      <c r="D1203" s="36" t="n"/>
      <c r="E1203" s="38" t="n"/>
      <c r="F1203" s="39" t="n"/>
      <c r="G1203" s="36" t="n"/>
      <c r="H1203" s="40" t="n"/>
      <c r="I1203" s="40" t="n"/>
      <c r="J1203" s="41">
        <f>IF(ISNUMBER(H1203),H1203,IF(AND(D1203="労務費",TRIM(E1203)&lt;&gt;""),IFERROR(INDEX('設定'!$G$12:$G$31,MATCH(TRIM(E1203),'設定'!$J$12:$J$31,0)),""),""))</f>
        <v/>
      </c>
      <c r="K1203" s="30">
        <f>IF(AND(ISNUMBER(F1203),ISNUMBER(J1203)),ROUND(F1203*J1203,0),IF(ISNUMBER(I1203),I1203,""))</f>
        <v/>
      </c>
      <c r="L1203" s="33" t="n"/>
      <c r="M1203" s="34">
        <f>IF(COUNTA(A1203:B1203,D1203:I1203,L1203)=0,"",IF(B1203="","案件番号がありません",IF(ISNA(MATCH(B1203,'案件'!$A$6:$A$105,0)),"案件シートに無い番号です",IF(NOT(OR(D1203="材料費",D1203="労務費",D1203="外注費",D1203="経費")),"費目を4つから選んでください",IF(K1203="",IF(AND(ISNUMBER(F1203),NOT(ISNUMBER(J1203))),IF(D1203="労務費","単価がありません（設定の作業者名と同じ書き方に）","単価がありません"),IF(AND(ISNUMBER(J1203),NOT(ISNUMBER(F1203))),"数量がありません","金額がありません")),IF(NOT(ISNUMBER(A1203)),"日付がありません（月別集計に入りません）",IF(AND(ISNUMBER(F1203),ISNUMBER(J1203),ISNUMBER(I1203)),"数量×単価を使いました（金額の欄は使っていません）","")))))))</f>
        <v/>
      </c>
      <c r="N1203" s="91">
        <f>IF(AND(B1203&lt;&gt;"",B1203='案件カード'!$C$3),COUNTIF($B$5:B1203,'案件カード'!$C$3),"")</f>
        <v/>
      </c>
      <c r="O1203" s="91">
        <f>IF(ISNUMBER(K1203),IF(B1203="",K1203,IF(AND(ISNUMBER(MATCH(B1203,'案件'!$A$6:$A$105,0)),OR(D1203="材料費",D1203="労務費",D1203="外注費",D1203="経費")),0,K1203)),0)</f>
        <v/>
      </c>
    </row>
    <row r="1204" ht="16" customHeight="1">
      <c r="A1204" s="35" t="n"/>
      <c r="B1204" s="36" t="n"/>
      <c r="C1204" s="37">
        <f>IF(B1204="","",IFERROR(INDEX('案件'!$B$6:$B$105,MATCH(B1204,'案件'!$A$6:$A$105,0))&amp;"","（案件シートに無い番号）"))</f>
        <v/>
      </c>
      <c r="D1204" s="36" t="n"/>
      <c r="E1204" s="38" t="n"/>
      <c r="F1204" s="39" t="n"/>
      <c r="G1204" s="36" t="n"/>
      <c r="H1204" s="40" t="n"/>
      <c r="I1204" s="40" t="n"/>
      <c r="J1204" s="41">
        <f>IF(ISNUMBER(H1204),H1204,IF(AND(D1204="労務費",TRIM(E1204)&lt;&gt;""),IFERROR(INDEX('設定'!$G$12:$G$31,MATCH(TRIM(E1204),'設定'!$J$12:$J$31,0)),""),""))</f>
        <v/>
      </c>
      <c r="K1204" s="30">
        <f>IF(AND(ISNUMBER(F1204),ISNUMBER(J1204)),ROUND(F1204*J1204,0),IF(ISNUMBER(I1204),I1204,""))</f>
        <v/>
      </c>
      <c r="L1204" s="33" t="n"/>
      <c r="M1204" s="34">
        <f>IF(COUNTA(A1204:B1204,D1204:I1204,L1204)=0,"",IF(B1204="","案件番号がありません",IF(ISNA(MATCH(B1204,'案件'!$A$6:$A$105,0)),"案件シートに無い番号です",IF(NOT(OR(D1204="材料費",D1204="労務費",D1204="外注費",D1204="経費")),"費目を4つから選んでください",IF(K1204="",IF(AND(ISNUMBER(F1204),NOT(ISNUMBER(J1204))),IF(D1204="労務費","単価がありません（設定の作業者名と同じ書き方に）","単価がありません"),IF(AND(ISNUMBER(J1204),NOT(ISNUMBER(F1204))),"数量がありません","金額がありません")),IF(NOT(ISNUMBER(A1204)),"日付がありません（月別集計に入りません）",IF(AND(ISNUMBER(F1204),ISNUMBER(J1204),ISNUMBER(I1204)),"数量×単価を使いました（金額の欄は使っていません）","")))))))</f>
        <v/>
      </c>
      <c r="N1204" s="91">
        <f>IF(AND(B1204&lt;&gt;"",B1204='案件カード'!$C$3),COUNTIF($B$5:B1204,'案件カード'!$C$3),"")</f>
        <v/>
      </c>
      <c r="O1204" s="91">
        <f>IF(ISNUMBER(K1204),IF(B1204="",K1204,IF(AND(ISNUMBER(MATCH(B1204,'案件'!$A$6:$A$105,0)),OR(D1204="材料費",D1204="労務費",D1204="外注費",D1204="経費")),0,K1204)),0)</f>
        <v/>
      </c>
    </row>
    <row r="1205" ht="16" customHeight="1">
      <c r="A1205" s="35" t="n"/>
      <c r="B1205" s="36" t="n"/>
      <c r="C1205" s="37">
        <f>IF(B1205="","",IFERROR(INDEX('案件'!$B$6:$B$105,MATCH(B1205,'案件'!$A$6:$A$105,0))&amp;"","（案件シートに無い番号）"))</f>
        <v/>
      </c>
      <c r="D1205" s="36" t="n"/>
      <c r="E1205" s="38" t="n"/>
      <c r="F1205" s="39" t="n"/>
      <c r="G1205" s="36" t="n"/>
      <c r="H1205" s="40" t="n"/>
      <c r="I1205" s="40" t="n"/>
      <c r="J1205" s="41">
        <f>IF(ISNUMBER(H1205),H1205,IF(AND(D1205="労務費",TRIM(E1205)&lt;&gt;""),IFERROR(INDEX('設定'!$G$12:$G$31,MATCH(TRIM(E1205),'設定'!$J$12:$J$31,0)),""),""))</f>
        <v/>
      </c>
      <c r="K1205" s="30">
        <f>IF(AND(ISNUMBER(F1205),ISNUMBER(J1205)),ROUND(F1205*J1205,0),IF(ISNUMBER(I1205),I1205,""))</f>
        <v/>
      </c>
      <c r="L1205" s="33" t="n"/>
      <c r="M1205" s="34">
        <f>IF(COUNTA(A1205:B1205,D1205:I1205,L1205)=0,"",IF(B1205="","案件番号がありません",IF(ISNA(MATCH(B1205,'案件'!$A$6:$A$105,0)),"案件シートに無い番号です",IF(NOT(OR(D1205="材料費",D1205="労務費",D1205="外注費",D1205="経費")),"費目を4つから選んでください",IF(K1205="",IF(AND(ISNUMBER(F1205),NOT(ISNUMBER(J1205))),IF(D1205="労務費","単価がありません（設定の作業者名と同じ書き方に）","単価がありません"),IF(AND(ISNUMBER(J1205),NOT(ISNUMBER(F1205))),"数量がありません","金額がありません")),IF(NOT(ISNUMBER(A1205)),"日付がありません（月別集計に入りません）",IF(AND(ISNUMBER(F1205),ISNUMBER(J1205),ISNUMBER(I1205)),"数量×単価を使いました（金額の欄は使っていません）","")))))))</f>
        <v/>
      </c>
      <c r="N1205" s="91">
        <f>IF(AND(B1205&lt;&gt;"",B1205='案件カード'!$C$3),COUNTIF($B$5:B1205,'案件カード'!$C$3),"")</f>
        <v/>
      </c>
      <c r="O1205" s="91">
        <f>IF(ISNUMBER(K1205),IF(B1205="",K1205,IF(AND(ISNUMBER(MATCH(B1205,'案件'!$A$6:$A$105,0)),OR(D1205="材料費",D1205="労務費",D1205="外注費",D1205="経費")),0,K1205)),0)</f>
        <v/>
      </c>
    </row>
    <row r="1206" ht="16" customHeight="1">
      <c r="A1206" s="35" t="n"/>
      <c r="B1206" s="36" t="n"/>
      <c r="C1206" s="37">
        <f>IF(B1206="","",IFERROR(INDEX('案件'!$B$6:$B$105,MATCH(B1206,'案件'!$A$6:$A$105,0))&amp;"","（案件シートに無い番号）"))</f>
        <v/>
      </c>
      <c r="D1206" s="36" t="n"/>
      <c r="E1206" s="38" t="n"/>
      <c r="F1206" s="39" t="n"/>
      <c r="G1206" s="36" t="n"/>
      <c r="H1206" s="40" t="n"/>
      <c r="I1206" s="40" t="n"/>
      <c r="J1206" s="41">
        <f>IF(ISNUMBER(H1206),H1206,IF(AND(D1206="労務費",TRIM(E1206)&lt;&gt;""),IFERROR(INDEX('設定'!$G$12:$G$31,MATCH(TRIM(E1206),'設定'!$J$12:$J$31,0)),""),""))</f>
        <v/>
      </c>
      <c r="K1206" s="30">
        <f>IF(AND(ISNUMBER(F1206),ISNUMBER(J1206)),ROUND(F1206*J1206,0),IF(ISNUMBER(I1206),I1206,""))</f>
        <v/>
      </c>
      <c r="L1206" s="33" t="n"/>
      <c r="M1206" s="34">
        <f>IF(COUNTA(A1206:B1206,D1206:I1206,L1206)=0,"",IF(B1206="","案件番号がありません",IF(ISNA(MATCH(B1206,'案件'!$A$6:$A$105,0)),"案件シートに無い番号です",IF(NOT(OR(D1206="材料費",D1206="労務費",D1206="外注費",D1206="経費")),"費目を4つから選んでください",IF(K1206="",IF(AND(ISNUMBER(F1206),NOT(ISNUMBER(J1206))),IF(D1206="労務費","単価がありません（設定の作業者名と同じ書き方に）","単価がありません"),IF(AND(ISNUMBER(J1206),NOT(ISNUMBER(F1206))),"数量がありません","金額がありません")),IF(NOT(ISNUMBER(A1206)),"日付がありません（月別集計に入りません）",IF(AND(ISNUMBER(F1206),ISNUMBER(J1206),ISNUMBER(I1206)),"数量×単価を使いました（金額の欄は使っていません）","")))))))</f>
        <v/>
      </c>
      <c r="N1206" s="91">
        <f>IF(AND(B1206&lt;&gt;"",B1206='案件カード'!$C$3),COUNTIF($B$5:B1206,'案件カード'!$C$3),"")</f>
        <v/>
      </c>
      <c r="O1206" s="91">
        <f>IF(ISNUMBER(K1206),IF(B1206="",K1206,IF(AND(ISNUMBER(MATCH(B1206,'案件'!$A$6:$A$105,0)),OR(D1206="材料費",D1206="労務費",D1206="外注費",D1206="経費")),0,K1206)),0)</f>
        <v/>
      </c>
    </row>
    <row r="1207" ht="16" customHeight="1">
      <c r="A1207" s="35" t="n"/>
      <c r="B1207" s="36" t="n"/>
      <c r="C1207" s="37">
        <f>IF(B1207="","",IFERROR(INDEX('案件'!$B$6:$B$105,MATCH(B1207,'案件'!$A$6:$A$105,0))&amp;"","（案件シートに無い番号）"))</f>
        <v/>
      </c>
      <c r="D1207" s="36" t="n"/>
      <c r="E1207" s="38" t="n"/>
      <c r="F1207" s="39" t="n"/>
      <c r="G1207" s="36" t="n"/>
      <c r="H1207" s="40" t="n"/>
      <c r="I1207" s="40" t="n"/>
      <c r="J1207" s="41">
        <f>IF(ISNUMBER(H1207),H1207,IF(AND(D1207="労務費",TRIM(E1207)&lt;&gt;""),IFERROR(INDEX('設定'!$G$12:$G$31,MATCH(TRIM(E1207),'設定'!$J$12:$J$31,0)),""),""))</f>
        <v/>
      </c>
      <c r="K1207" s="30">
        <f>IF(AND(ISNUMBER(F1207),ISNUMBER(J1207)),ROUND(F1207*J1207,0),IF(ISNUMBER(I1207),I1207,""))</f>
        <v/>
      </c>
      <c r="L1207" s="33" t="n"/>
      <c r="M1207" s="34">
        <f>IF(COUNTA(A1207:B1207,D1207:I1207,L1207)=0,"",IF(B1207="","案件番号がありません",IF(ISNA(MATCH(B1207,'案件'!$A$6:$A$105,0)),"案件シートに無い番号です",IF(NOT(OR(D1207="材料費",D1207="労務費",D1207="外注費",D1207="経費")),"費目を4つから選んでください",IF(K1207="",IF(AND(ISNUMBER(F1207),NOT(ISNUMBER(J1207))),IF(D1207="労務費","単価がありません（設定の作業者名と同じ書き方に）","単価がありません"),IF(AND(ISNUMBER(J1207),NOT(ISNUMBER(F1207))),"数量がありません","金額がありません")),IF(NOT(ISNUMBER(A1207)),"日付がありません（月別集計に入りません）",IF(AND(ISNUMBER(F1207),ISNUMBER(J1207),ISNUMBER(I1207)),"数量×単価を使いました（金額の欄は使っていません）","")))))))</f>
        <v/>
      </c>
      <c r="N1207" s="91">
        <f>IF(AND(B1207&lt;&gt;"",B1207='案件カード'!$C$3),COUNTIF($B$5:B1207,'案件カード'!$C$3),"")</f>
        <v/>
      </c>
      <c r="O1207" s="91">
        <f>IF(ISNUMBER(K1207),IF(B1207="",K1207,IF(AND(ISNUMBER(MATCH(B1207,'案件'!$A$6:$A$105,0)),OR(D1207="材料費",D1207="労務費",D1207="外注費",D1207="経費")),0,K1207)),0)</f>
        <v/>
      </c>
    </row>
    <row r="1208" ht="16" customHeight="1">
      <c r="A1208" s="35" t="n"/>
      <c r="B1208" s="36" t="n"/>
      <c r="C1208" s="37">
        <f>IF(B1208="","",IFERROR(INDEX('案件'!$B$6:$B$105,MATCH(B1208,'案件'!$A$6:$A$105,0))&amp;"","（案件シートに無い番号）"))</f>
        <v/>
      </c>
      <c r="D1208" s="36" t="n"/>
      <c r="E1208" s="38" t="n"/>
      <c r="F1208" s="39" t="n"/>
      <c r="G1208" s="36" t="n"/>
      <c r="H1208" s="40" t="n"/>
      <c r="I1208" s="40" t="n"/>
      <c r="J1208" s="41">
        <f>IF(ISNUMBER(H1208),H1208,IF(AND(D1208="労務費",TRIM(E1208)&lt;&gt;""),IFERROR(INDEX('設定'!$G$12:$G$31,MATCH(TRIM(E1208),'設定'!$J$12:$J$31,0)),""),""))</f>
        <v/>
      </c>
      <c r="K1208" s="30">
        <f>IF(AND(ISNUMBER(F1208),ISNUMBER(J1208)),ROUND(F1208*J1208,0),IF(ISNUMBER(I1208),I1208,""))</f>
        <v/>
      </c>
      <c r="L1208" s="33" t="n"/>
      <c r="M1208" s="34">
        <f>IF(COUNTA(A1208:B1208,D1208:I1208,L1208)=0,"",IF(B1208="","案件番号がありません",IF(ISNA(MATCH(B1208,'案件'!$A$6:$A$105,0)),"案件シートに無い番号です",IF(NOT(OR(D1208="材料費",D1208="労務費",D1208="外注費",D1208="経費")),"費目を4つから選んでください",IF(K1208="",IF(AND(ISNUMBER(F1208),NOT(ISNUMBER(J1208))),IF(D1208="労務費","単価がありません（設定の作業者名と同じ書き方に）","単価がありません"),IF(AND(ISNUMBER(J1208),NOT(ISNUMBER(F1208))),"数量がありません","金額がありません")),IF(NOT(ISNUMBER(A1208)),"日付がありません（月別集計に入りません）",IF(AND(ISNUMBER(F1208),ISNUMBER(J1208),ISNUMBER(I1208)),"数量×単価を使いました（金額の欄は使っていません）","")))))))</f>
        <v/>
      </c>
      <c r="N1208" s="91">
        <f>IF(AND(B1208&lt;&gt;"",B1208='案件カード'!$C$3),COUNTIF($B$5:B1208,'案件カード'!$C$3),"")</f>
        <v/>
      </c>
      <c r="O1208" s="91">
        <f>IF(ISNUMBER(K1208),IF(B1208="",K1208,IF(AND(ISNUMBER(MATCH(B1208,'案件'!$A$6:$A$105,0)),OR(D1208="材料費",D1208="労務費",D1208="外注費",D1208="経費")),0,K1208)),0)</f>
        <v/>
      </c>
    </row>
    <row r="1209" ht="16" customHeight="1">
      <c r="A1209" s="35" t="n"/>
      <c r="B1209" s="36" t="n"/>
      <c r="C1209" s="37">
        <f>IF(B1209="","",IFERROR(INDEX('案件'!$B$6:$B$105,MATCH(B1209,'案件'!$A$6:$A$105,0))&amp;"","（案件シートに無い番号）"))</f>
        <v/>
      </c>
      <c r="D1209" s="36" t="n"/>
      <c r="E1209" s="38" t="n"/>
      <c r="F1209" s="39" t="n"/>
      <c r="G1209" s="36" t="n"/>
      <c r="H1209" s="40" t="n"/>
      <c r="I1209" s="40" t="n"/>
      <c r="J1209" s="41">
        <f>IF(ISNUMBER(H1209),H1209,IF(AND(D1209="労務費",TRIM(E1209)&lt;&gt;""),IFERROR(INDEX('設定'!$G$12:$G$31,MATCH(TRIM(E1209),'設定'!$J$12:$J$31,0)),""),""))</f>
        <v/>
      </c>
      <c r="K1209" s="30">
        <f>IF(AND(ISNUMBER(F1209),ISNUMBER(J1209)),ROUND(F1209*J1209,0),IF(ISNUMBER(I1209),I1209,""))</f>
        <v/>
      </c>
      <c r="L1209" s="33" t="n"/>
      <c r="M1209" s="34">
        <f>IF(COUNTA(A1209:B1209,D1209:I1209,L1209)=0,"",IF(B1209="","案件番号がありません",IF(ISNA(MATCH(B1209,'案件'!$A$6:$A$105,0)),"案件シートに無い番号です",IF(NOT(OR(D1209="材料費",D1209="労務費",D1209="外注費",D1209="経費")),"費目を4つから選んでください",IF(K1209="",IF(AND(ISNUMBER(F1209),NOT(ISNUMBER(J1209))),IF(D1209="労務費","単価がありません（設定の作業者名と同じ書き方に）","単価がありません"),IF(AND(ISNUMBER(J1209),NOT(ISNUMBER(F1209))),"数量がありません","金額がありません")),IF(NOT(ISNUMBER(A1209)),"日付がありません（月別集計に入りません）",IF(AND(ISNUMBER(F1209),ISNUMBER(J1209),ISNUMBER(I1209)),"数量×単価を使いました（金額の欄は使っていません）","")))))))</f>
        <v/>
      </c>
      <c r="N1209" s="91">
        <f>IF(AND(B1209&lt;&gt;"",B1209='案件カード'!$C$3),COUNTIF($B$5:B1209,'案件カード'!$C$3),"")</f>
        <v/>
      </c>
      <c r="O1209" s="91">
        <f>IF(ISNUMBER(K1209),IF(B1209="",K1209,IF(AND(ISNUMBER(MATCH(B1209,'案件'!$A$6:$A$105,0)),OR(D1209="材料費",D1209="労務費",D1209="外注費",D1209="経費")),0,K1209)),0)</f>
        <v/>
      </c>
    </row>
    <row r="1210" ht="16" customHeight="1">
      <c r="A1210" s="35" t="n"/>
      <c r="B1210" s="36" t="n"/>
      <c r="C1210" s="37">
        <f>IF(B1210="","",IFERROR(INDEX('案件'!$B$6:$B$105,MATCH(B1210,'案件'!$A$6:$A$105,0))&amp;"","（案件シートに無い番号）"))</f>
        <v/>
      </c>
      <c r="D1210" s="36" t="n"/>
      <c r="E1210" s="38" t="n"/>
      <c r="F1210" s="39" t="n"/>
      <c r="G1210" s="36" t="n"/>
      <c r="H1210" s="40" t="n"/>
      <c r="I1210" s="40" t="n"/>
      <c r="J1210" s="41">
        <f>IF(ISNUMBER(H1210),H1210,IF(AND(D1210="労務費",TRIM(E1210)&lt;&gt;""),IFERROR(INDEX('設定'!$G$12:$G$31,MATCH(TRIM(E1210),'設定'!$J$12:$J$31,0)),""),""))</f>
        <v/>
      </c>
      <c r="K1210" s="30">
        <f>IF(AND(ISNUMBER(F1210),ISNUMBER(J1210)),ROUND(F1210*J1210,0),IF(ISNUMBER(I1210),I1210,""))</f>
        <v/>
      </c>
      <c r="L1210" s="33" t="n"/>
      <c r="M1210" s="34">
        <f>IF(COUNTA(A1210:B1210,D1210:I1210,L1210)=0,"",IF(B1210="","案件番号がありません",IF(ISNA(MATCH(B1210,'案件'!$A$6:$A$105,0)),"案件シートに無い番号です",IF(NOT(OR(D1210="材料費",D1210="労務費",D1210="外注費",D1210="経費")),"費目を4つから選んでください",IF(K1210="",IF(AND(ISNUMBER(F1210),NOT(ISNUMBER(J1210))),IF(D1210="労務費","単価がありません（設定の作業者名と同じ書き方に）","単価がありません"),IF(AND(ISNUMBER(J1210),NOT(ISNUMBER(F1210))),"数量がありません","金額がありません")),IF(NOT(ISNUMBER(A1210)),"日付がありません（月別集計に入りません）",IF(AND(ISNUMBER(F1210),ISNUMBER(J1210),ISNUMBER(I1210)),"数量×単価を使いました（金額の欄は使っていません）","")))))))</f>
        <v/>
      </c>
      <c r="N1210" s="91">
        <f>IF(AND(B1210&lt;&gt;"",B1210='案件カード'!$C$3),COUNTIF($B$5:B1210,'案件カード'!$C$3),"")</f>
        <v/>
      </c>
      <c r="O1210" s="91">
        <f>IF(ISNUMBER(K1210),IF(B1210="",K1210,IF(AND(ISNUMBER(MATCH(B1210,'案件'!$A$6:$A$105,0)),OR(D1210="材料費",D1210="労務費",D1210="外注費",D1210="経費")),0,K1210)),0)</f>
        <v/>
      </c>
    </row>
    <row r="1211" ht="16" customHeight="1">
      <c r="A1211" s="35" t="n"/>
      <c r="B1211" s="36" t="n"/>
      <c r="C1211" s="37">
        <f>IF(B1211="","",IFERROR(INDEX('案件'!$B$6:$B$105,MATCH(B1211,'案件'!$A$6:$A$105,0))&amp;"","（案件シートに無い番号）"))</f>
        <v/>
      </c>
      <c r="D1211" s="36" t="n"/>
      <c r="E1211" s="38" t="n"/>
      <c r="F1211" s="39" t="n"/>
      <c r="G1211" s="36" t="n"/>
      <c r="H1211" s="40" t="n"/>
      <c r="I1211" s="40" t="n"/>
      <c r="J1211" s="41">
        <f>IF(ISNUMBER(H1211),H1211,IF(AND(D1211="労務費",TRIM(E1211)&lt;&gt;""),IFERROR(INDEX('設定'!$G$12:$G$31,MATCH(TRIM(E1211),'設定'!$J$12:$J$31,0)),""),""))</f>
        <v/>
      </c>
      <c r="K1211" s="30">
        <f>IF(AND(ISNUMBER(F1211),ISNUMBER(J1211)),ROUND(F1211*J1211,0),IF(ISNUMBER(I1211),I1211,""))</f>
        <v/>
      </c>
      <c r="L1211" s="33" t="n"/>
      <c r="M1211" s="34">
        <f>IF(COUNTA(A1211:B1211,D1211:I1211,L1211)=0,"",IF(B1211="","案件番号がありません",IF(ISNA(MATCH(B1211,'案件'!$A$6:$A$105,0)),"案件シートに無い番号です",IF(NOT(OR(D1211="材料費",D1211="労務費",D1211="外注費",D1211="経費")),"費目を4つから選んでください",IF(K1211="",IF(AND(ISNUMBER(F1211),NOT(ISNUMBER(J1211))),IF(D1211="労務費","単価がありません（設定の作業者名と同じ書き方に）","単価がありません"),IF(AND(ISNUMBER(J1211),NOT(ISNUMBER(F1211))),"数量がありません","金額がありません")),IF(NOT(ISNUMBER(A1211)),"日付がありません（月別集計に入りません）",IF(AND(ISNUMBER(F1211),ISNUMBER(J1211),ISNUMBER(I1211)),"数量×単価を使いました（金額の欄は使っていません）","")))))))</f>
        <v/>
      </c>
      <c r="N1211" s="91">
        <f>IF(AND(B1211&lt;&gt;"",B1211='案件カード'!$C$3),COUNTIF($B$5:B1211,'案件カード'!$C$3),"")</f>
        <v/>
      </c>
      <c r="O1211" s="91">
        <f>IF(ISNUMBER(K1211),IF(B1211="",K1211,IF(AND(ISNUMBER(MATCH(B1211,'案件'!$A$6:$A$105,0)),OR(D1211="材料費",D1211="労務費",D1211="外注費",D1211="経費")),0,K1211)),0)</f>
        <v/>
      </c>
    </row>
    <row r="1212" ht="16" customHeight="1">
      <c r="A1212" s="35" t="n"/>
      <c r="B1212" s="36" t="n"/>
      <c r="C1212" s="37">
        <f>IF(B1212="","",IFERROR(INDEX('案件'!$B$6:$B$105,MATCH(B1212,'案件'!$A$6:$A$105,0))&amp;"","（案件シートに無い番号）"))</f>
        <v/>
      </c>
      <c r="D1212" s="36" t="n"/>
      <c r="E1212" s="38" t="n"/>
      <c r="F1212" s="39" t="n"/>
      <c r="G1212" s="36" t="n"/>
      <c r="H1212" s="40" t="n"/>
      <c r="I1212" s="40" t="n"/>
      <c r="J1212" s="41">
        <f>IF(ISNUMBER(H1212),H1212,IF(AND(D1212="労務費",TRIM(E1212)&lt;&gt;""),IFERROR(INDEX('設定'!$G$12:$G$31,MATCH(TRIM(E1212),'設定'!$J$12:$J$31,0)),""),""))</f>
        <v/>
      </c>
      <c r="K1212" s="30">
        <f>IF(AND(ISNUMBER(F1212),ISNUMBER(J1212)),ROUND(F1212*J1212,0),IF(ISNUMBER(I1212),I1212,""))</f>
        <v/>
      </c>
      <c r="L1212" s="33" t="n"/>
      <c r="M1212" s="34">
        <f>IF(COUNTA(A1212:B1212,D1212:I1212,L1212)=0,"",IF(B1212="","案件番号がありません",IF(ISNA(MATCH(B1212,'案件'!$A$6:$A$105,0)),"案件シートに無い番号です",IF(NOT(OR(D1212="材料費",D1212="労務費",D1212="外注費",D1212="経費")),"費目を4つから選んでください",IF(K1212="",IF(AND(ISNUMBER(F1212),NOT(ISNUMBER(J1212))),IF(D1212="労務費","単価がありません（設定の作業者名と同じ書き方に）","単価がありません"),IF(AND(ISNUMBER(J1212),NOT(ISNUMBER(F1212))),"数量がありません","金額がありません")),IF(NOT(ISNUMBER(A1212)),"日付がありません（月別集計に入りません）",IF(AND(ISNUMBER(F1212),ISNUMBER(J1212),ISNUMBER(I1212)),"数量×単価を使いました（金額の欄は使っていません）","")))))))</f>
        <v/>
      </c>
      <c r="N1212" s="91">
        <f>IF(AND(B1212&lt;&gt;"",B1212='案件カード'!$C$3),COUNTIF($B$5:B1212,'案件カード'!$C$3),"")</f>
        <v/>
      </c>
      <c r="O1212" s="91">
        <f>IF(ISNUMBER(K1212),IF(B1212="",K1212,IF(AND(ISNUMBER(MATCH(B1212,'案件'!$A$6:$A$105,0)),OR(D1212="材料費",D1212="労務費",D1212="外注費",D1212="経費")),0,K1212)),0)</f>
        <v/>
      </c>
    </row>
    <row r="1213" ht="16" customHeight="1">
      <c r="A1213" s="35" t="n"/>
      <c r="B1213" s="36" t="n"/>
      <c r="C1213" s="37">
        <f>IF(B1213="","",IFERROR(INDEX('案件'!$B$6:$B$105,MATCH(B1213,'案件'!$A$6:$A$105,0))&amp;"","（案件シートに無い番号）"))</f>
        <v/>
      </c>
      <c r="D1213" s="36" t="n"/>
      <c r="E1213" s="38" t="n"/>
      <c r="F1213" s="39" t="n"/>
      <c r="G1213" s="36" t="n"/>
      <c r="H1213" s="40" t="n"/>
      <c r="I1213" s="40" t="n"/>
      <c r="J1213" s="41">
        <f>IF(ISNUMBER(H1213),H1213,IF(AND(D1213="労務費",TRIM(E1213)&lt;&gt;""),IFERROR(INDEX('設定'!$G$12:$G$31,MATCH(TRIM(E1213),'設定'!$J$12:$J$31,0)),""),""))</f>
        <v/>
      </c>
      <c r="K1213" s="30">
        <f>IF(AND(ISNUMBER(F1213),ISNUMBER(J1213)),ROUND(F1213*J1213,0),IF(ISNUMBER(I1213),I1213,""))</f>
        <v/>
      </c>
      <c r="L1213" s="33" t="n"/>
      <c r="M1213" s="34">
        <f>IF(COUNTA(A1213:B1213,D1213:I1213,L1213)=0,"",IF(B1213="","案件番号がありません",IF(ISNA(MATCH(B1213,'案件'!$A$6:$A$105,0)),"案件シートに無い番号です",IF(NOT(OR(D1213="材料費",D1213="労務費",D1213="外注費",D1213="経費")),"費目を4つから選んでください",IF(K1213="",IF(AND(ISNUMBER(F1213),NOT(ISNUMBER(J1213))),IF(D1213="労務費","単価がありません（設定の作業者名と同じ書き方に）","単価がありません"),IF(AND(ISNUMBER(J1213),NOT(ISNUMBER(F1213))),"数量がありません","金額がありません")),IF(NOT(ISNUMBER(A1213)),"日付がありません（月別集計に入りません）",IF(AND(ISNUMBER(F1213),ISNUMBER(J1213),ISNUMBER(I1213)),"数量×単価を使いました（金額の欄は使っていません）","")))))))</f>
        <v/>
      </c>
      <c r="N1213" s="91">
        <f>IF(AND(B1213&lt;&gt;"",B1213='案件カード'!$C$3),COUNTIF($B$5:B1213,'案件カード'!$C$3),"")</f>
        <v/>
      </c>
      <c r="O1213" s="91">
        <f>IF(ISNUMBER(K1213),IF(B1213="",K1213,IF(AND(ISNUMBER(MATCH(B1213,'案件'!$A$6:$A$105,0)),OR(D1213="材料費",D1213="労務費",D1213="外注費",D1213="経費")),0,K1213)),0)</f>
        <v/>
      </c>
    </row>
    <row r="1214" ht="16" customHeight="1">
      <c r="A1214" s="35" t="n"/>
      <c r="B1214" s="36" t="n"/>
      <c r="C1214" s="37">
        <f>IF(B1214="","",IFERROR(INDEX('案件'!$B$6:$B$105,MATCH(B1214,'案件'!$A$6:$A$105,0))&amp;"","（案件シートに無い番号）"))</f>
        <v/>
      </c>
      <c r="D1214" s="36" t="n"/>
      <c r="E1214" s="38" t="n"/>
      <c r="F1214" s="39" t="n"/>
      <c r="G1214" s="36" t="n"/>
      <c r="H1214" s="40" t="n"/>
      <c r="I1214" s="40" t="n"/>
      <c r="J1214" s="41">
        <f>IF(ISNUMBER(H1214),H1214,IF(AND(D1214="労務費",TRIM(E1214)&lt;&gt;""),IFERROR(INDEX('設定'!$G$12:$G$31,MATCH(TRIM(E1214),'設定'!$J$12:$J$31,0)),""),""))</f>
        <v/>
      </c>
      <c r="K1214" s="30">
        <f>IF(AND(ISNUMBER(F1214),ISNUMBER(J1214)),ROUND(F1214*J1214,0),IF(ISNUMBER(I1214),I1214,""))</f>
        <v/>
      </c>
      <c r="L1214" s="33" t="n"/>
      <c r="M1214" s="34">
        <f>IF(COUNTA(A1214:B1214,D1214:I1214,L1214)=0,"",IF(B1214="","案件番号がありません",IF(ISNA(MATCH(B1214,'案件'!$A$6:$A$105,0)),"案件シートに無い番号です",IF(NOT(OR(D1214="材料費",D1214="労務費",D1214="外注費",D1214="経費")),"費目を4つから選んでください",IF(K1214="",IF(AND(ISNUMBER(F1214),NOT(ISNUMBER(J1214))),IF(D1214="労務費","単価がありません（設定の作業者名と同じ書き方に）","単価がありません"),IF(AND(ISNUMBER(J1214),NOT(ISNUMBER(F1214))),"数量がありません","金額がありません")),IF(NOT(ISNUMBER(A1214)),"日付がありません（月別集計に入りません）",IF(AND(ISNUMBER(F1214),ISNUMBER(J1214),ISNUMBER(I1214)),"数量×単価を使いました（金額の欄は使っていません）","")))))))</f>
        <v/>
      </c>
      <c r="N1214" s="91">
        <f>IF(AND(B1214&lt;&gt;"",B1214='案件カード'!$C$3),COUNTIF($B$5:B1214,'案件カード'!$C$3),"")</f>
        <v/>
      </c>
      <c r="O1214" s="91">
        <f>IF(ISNUMBER(K1214),IF(B1214="",K1214,IF(AND(ISNUMBER(MATCH(B1214,'案件'!$A$6:$A$105,0)),OR(D1214="材料費",D1214="労務費",D1214="外注費",D1214="経費")),0,K1214)),0)</f>
        <v/>
      </c>
    </row>
    <row r="1215" ht="16" customHeight="1">
      <c r="A1215" s="35" t="n"/>
      <c r="B1215" s="36" t="n"/>
      <c r="C1215" s="37">
        <f>IF(B1215="","",IFERROR(INDEX('案件'!$B$6:$B$105,MATCH(B1215,'案件'!$A$6:$A$105,0))&amp;"","（案件シートに無い番号）"))</f>
        <v/>
      </c>
      <c r="D1215" s="36" t="n"/>
      <c r="E1215" s="38" t="n"/>
      <c r="F1215" s="39" t="n"/>
      <c r="G1215" s="36" t="n"/>
      <c r="H1215" s="40" t="n"/>
      <c r="I1215" s="40" t="n"/>
      <c r="J1215" s="41">
        <f>IF(ISNUMBER(H1215),H1215,IF(AND(D1215="労務費",TRIM(E1215)&lt;&gt;""),IFERROR(INDEX('設定'!$G$12:$G$31,MATCH(TRIM(E1215),'設定'!$J$12:$J$31,0)),""),""))</f>
        <v/>
      </c>
      <c r="K1215" s="30">
        <f>IF(AND(ISNUMBER(F1215),ISNUMBER(J1215)),ROUND(F1215*J1215,0),IF(ISNUMBER(I1215),I1215,""))</f>
        <v/>
      </c>
      <c r="L1215" s="33" t="n"/>
      <c r="M1215" s="34">
        <f>IF(COUNTA(A1215:B1215,D1215:I1215,L1215)=0,"",IF(B1215="","案件番号がありません",IF(ISNA(MATCH(B1215,'案件'!$A$6:$A$105,0)),"案件シートに無い番号です",IF(NOT(OR(D1215="材料費",D1215="労務費",D1215="外注費",D1215="経費")),"費目を4つから選んでください",IF(K1215="",IF(AND(ISNUMBER(F1215),NOT(ISNUMBER(J1215))),IF(D1215="労務費","単価がありません（設定の作業者名と同じ書き方に）","単価がありません"),IF(AND(ISNUMBER(J1215),NOT(ISNUMBER(F1215))),"数量がありません","金額がありません")),IF(NOT(ISNUMBER(A1215)),"日付がありません（月別集計に入りません）",IF(AND(ISNUMBER(F1215),ISNUMBER(J1215),ISNUMBER(I1215)),"数量×単価を使いました（金額の欄は使っていません）","")))))))</f>
        <v/>
      </c>
      <c r="N1215" s="91">
        <f>IF(AND(B1215&lt;&gt;"",B1215='案件カード'!$C$3),COUNTIF($B$5:B1215,'案件カード'!$C$3),"")</f>
        <v/>
      </c>
      <c r="O1215" s="91">
        <f>IF(ISNUMBER(K1215),IF(B1215="",K1215,IF(AND(ISNUMBER(MATCH(B1215,'案件'!$A$6:$A$105,0)),OR(D1215="材料費",D1215="労務費",D1215="外注費",D1215="経費")),0,K1215)),0)</f>
        <v/>
      </c>
    </row>
    <row r="1216" ht="16" customHeight="1">
      <c r="A1216" s="35" t="n"/>
      <c r="B1216" s="36" t="n"/>
      <c r="C1216" s="37">
        <f>IF(B1216="","",IFERROR(INDEX('案件'!$B$6:$B$105,MATCH(B1216,'案件'!$A$6:$A$105,0))&amp;"","（案件シートに無い番号）"))</f>
        <v/>
      </c>
      <c r="D1216" s="36" t="n"/>
      <c r="E1216" s="38" t="n"/>
      <c r="F1216" s="39" t="n"/>
      <c r="G1216" s="36" t="n"/>
      <c r="H1216" s="40" t="n"/>
      <c r="I1216" s="40" t="n"/>
      <c r="J1216" s="41">
        <f>IF(ISNUMBER(H1216),H1216,IF(AND(D1216="労務費",TRIM(E1216)&lt;&gt;""),IFERROR(INDEX('設定'!$G$12:$G$31,MATCH(TRIM(E1216),'設定'!$J$12:$J$31,0)),""),""))</f>
        <v/>
      </c>
      <c r="K1216" s="30">
        <f>IF(AND(ISNUMBER(F1216),ISNUMBER(J1216)),ROUND(F1216*J1216,0),IF(ISNUMBER(I1216),I1216,""))</f>
        <v/>
      </c>
      <c r="L1216" s="33" t="n"/>
      <c r="M1216" s="34">
        <f>IF(COUNTA(A1216:B1216,D1216:I1216,L1216)=0,"",IF(B1216="","案件番号がありません",IF(ISNA(MATCH(B1216,'案件'!$A$6:$A$105,0)),"案件シートに無い番号です",IF(NOT(OR(D1216="材料費",D1216="労務費",D1216="外注費",D1216="経費")),"費目を4つから選んでください",IF(K1216="",IF(AND(ISNUMBER(F1216),NOT(ISNUMBER(J1216))),IF(D1216="労務費","単価がありません（設定の作業者名と同じ書き方に）","単価がありません"),IF(AND(ISNUMBER(J1216),NOT(ISNUMBER(F1216))),"数量がありません","金額がありません")),IF(NOT(ISNUMBER(A1216)),"日付がありません（月別集計に入りません）",IF(AND(ISNUMBER(F1216),ISNUMBER(J1216),ISNUMBER(I1216)),"数量×単価を使いました（金額の欄は使っていません）","")))))))</f>
        <v/>
      </c>
      <c r="N1216" s="91">
        <f>IF(AND(B1216&lt;&gt;"",B1216='案件カード'!$C$3),COUNTIF($B$5:B1216,'案件カード'!$C$3),"")</f>
        <v/>
      </c>
      <c r="O1216" s="91">
        <f>IF(ISNUMBER(K1216),IF(B1216="",K1216,IF(AND(ISNUMBER(MATCH(B1216,'案件'!$A$6:$A$105,0)),OR(D1216="材料費",D1216="労務費",D1216="外注費",D1216="経費")),0,K1216)),0)</f>
        <v/>
      </c>
    </row>
    <row r="1217" ht="16" customHeight="1">
      <c r="A1217" s="35" t="n"/>
      <c r="B1217" s="36" t="n"/>
      <c r="C1217" s="37">
        <f>IF(B1217="","",IFERROR(INDEX('案件'!$B$6:$B$105,MATCH(B1217,'案件'!$A$6:$A$105,0))&amp;"","（案件シートに無い番号）"))</f>
        <v/>
      </c>
      <c r="D1217" s="36" t="n"/>
      <c r="E1217" s="38" t="n"/>
      <c r="F1217" s="39" t="n"/>
      <c r="G1217" s="36" t="n"/>
      <c r="H1217" s="40" t="n"/>
      <c r="I1217" s="40" t="n"/>
      <c r="J1217" s="41">
        <f>IF(ISNUMBER(H1217),H1217,IF(AND(D1217="労務費",TRIM(E1217)&lt;&gt;""),IFERROR(INDEX('設定'!$G$12:$G$31,MATCH(TRIM(E1217),'設定'!$J$12:$J$31,0)),""),""))</f>
        <v/>
      </c>
      <c r="K1217" s="30">
        <f>IF(AND(ISNUMBER(F1217),ISNUMBER(J1217)),ROUND(F1217*J1217,0),IF(ISNUMBER(I1217),I1217,""))</f>
        <v/>
      </c>
      <c r="L1217" s="33" t="n"/>
      <c r="M1217" s="34">
        <f>IF(COUNTA(A1217:B1217,D1217:I1217,L1217)=0,"",IF(B1217="","案件番号がありません",IF(ISNA(MATCH(B1217,'案件'!$A$6:$A$105,0)),"案件シートに無い番号です",IF(NOT(OR(D1217="材料費",D1217="労務費",D1217="外注費",D1217="経費")),"費目を4つから選んでください",IF(K1217="",IF(AND(ISNUMBER(F1217),NOT(ISNUMBER(J1217))),IF(D1217="労務費","単価がありません（設定の作業者名と同じ書き方に）","単価がありません"),IF(AND(ISNUMBER(J1217),NOT(ISNUMBER(F1217))),"数量がありません","金額がありません")),IF(NOT(ISNUMBER(A1217)),"日付がありません（月別集計に入りません）",IF(AND(ISNUMBER(F1217),ISNUMBER(J1217),ISNUMBER(I1217)),"数量×単価を使いました（金額の欄は使っていません）","")))))))</f>
        <v/>
      </c>
      <c r="N1217" s="91">
        <f>IF(AND(B1217&lt;&gt;"",B1217='案件カード'!$C$3),COUNTIF($B$5:B1217,'案件カード'!$C$3),"")</f>
        <v/>
      </c>
      <c r="O1217" s="91">
        <f>IF(ISNUMBER(K1217),IF(B1217="",K1217,IF(AND(ISNUMBER(MATCH(B1217,'案件'!$A$6:$A$105,0)),OR(D1217="材料費",D1217="労務費",D1217="外注費",D1217="経費")),0,K1217)),0)</f>
        <v/>
      </c>
    </row>
    <row r="1218" ht="16" customHeight="1">
      <c r="A1218" s="35" t="n"/>
      <c r="B1218" s="36" t="n"/>
      <c r="C1218" s="37">
        <f>IF(B1218="","",IFERROR(INDEX('案件'!$B$6:$B$105,MATCH(B1218,'案件'!$A$6:$A$105,0))&amp;"","（案件シートに無い番号）"))</f>
        <v/>
      </c>
      <c r="D1218" s="36" t="n"/>
      <c r="E1218" s="38" t="n"/>
      <c r="F1218" s="39" t="n"/>
      <c r="G1218" s="36" t="n"/>
      <c r="H1218" s="40" t="n"/>
      <c r="I1218" s="40" t="n"/>
      <c r="J1218" s="41">
        <f>IF(ISNUMBER(H1218),H1218,IF(AND(D1218="労務費",TRIM(E1218)&lt;&gt;""),IFERROR(INDEX('設定'!$G$12:$G$31,MATCH(TRIM(E1218),'設定'!$J$12:$J$31,0)),""),""))</f>
        <v/>
      </c>
      <c r="K1218" s="30">
        <f>IF(AND(ISNUMBER(F1218),ISNUMBER(J1218)),ROUND(F1218*J1218,0),IF(ISNUMBER(I1218),I1218,""))</f>
        <v/>
      </c>
      <c r="L1218" s="33" t="n"/>
      <c r="M1218" s="34">
        <f>IF(COUNTA(A1218:B1218,D1218:I1218,L1218)=0,"",IF(B1218="","案件番号がありません",IF(ISNA(MATCH(B1218,'案件'!$A$6:$A$105,0)),"案件シートに無い番号です",IF(NOT(OR(D1218="材料費",D1218="労務費",D1218="外注費",D1218="経費")),"費目を4つから選んでください",IF(K1218="",IF(AND(ISNUMBER(F1218),NOT(ISNUMBER(J1218))),IF(D1218="労務費","単価がありません（設定の作業者名と同じ書き方に）","単価がありません"),IF(AND(ISNUMBER(J1218),NOT(ISNUMBER(F1218))),"数量がありません","金額がありません")),IF(NOT(ISNUMBER(A1218)),"日付がありません（月別集計に入りません）",IF(AND(ISNUMBER(F1218),ISNUMBER(J1218),ISNUMBER(I1218)),"数量×単価を使いました（金額の欄は使っていません）","")))))))</f>
        <v/>
      </c>
      <c r="N1218" s="91">
        <f>IF(AND(B1218&lt;&gt;"",B1218='案件カード'!$C$3),COUNTIF($B$5:B1218,'案件カード'!$C$3),"")</f>
        <v/>
      </c>
      <c r="O1218" s="91">
        <f>IF(ISNUMBER(K1218),IF(B1218="",K1218,IF(AND(ISNUMBER(MATCH(B1218,'案件'!$A$6:$A$105,0)),OR(D1218="材料費",D1218="労務費",D1218="外注費",D1218="経費")),0,K1218)),0)</f>
        <v/>
      </c>
    </row>
    <row r="1219" ht="16" customHeight="1">
      <c r="A1219" s="35" t="n"/>
      <c r="B1219" s="36" t="n"/>
      <c r="C1219" s="37">
        <f>IF(B1219="","",IFERROR(INDEX('案件'!$B$6:$B$105,MATCH(B1219,'案件'!$A$6:$A$105,0))&amp;"","（案件シートに無い番号）"))</f>
        <v/>
      </c>
      <c r="D1219" s="36" t="n"/>
      <c r="E1219" s="38" t="n"/>
      <c r="F1219" s="39" t="n"/>
      <c r="G1219" s="36" t="n"/>
      <c r="H1219" s="40" t="n"/>
      <c r="I1219" s="40" t="n"/>
      <c r="J1219" s="41">
        <f>IF(ISNUMBER(H1219),H1219,IF(AND(D1219="労務費",TRIM(E1219)&lt;&gt;""),IFERROR(INDEX('設定'!$G$12:$G$31,MATCH(TRIM(E1219),'設定'!$J$12:$J$31,0)),""),""))</f>
        <v/>
      </c>
      <c r="K1219" s="30">
        <f>IF(AND(ISNUMBER(F1219),ISNUMBER(J1219)),ROUND(F1219*J1219,0),IF(ISNUMBER(I1219),I1219,""))</f>
        <v/>
      </c>
      <c r="L1219" s="33" t="n"/>
      <c r="M1219" s="34">
        <f>IF(COUNTA(A1219:B1219,D1219:I1219,L1219)=0,"",IF(B1219="","案件番号がありません",IF(ISNA(MATCH(B1219,'案件'!$A$6:$A$105,0)),"案件シートに無い番号です",IF(NOT(OR(D1219="材料費",D1219="労務費",D1219="外注費",D1219="経費")),"費目を4つから選んでください",IF(K1219="",IF(AND(ISNUMBER(F1219),NOT(ISNUMBER(J1219))),IF(D1219="労務費","単価がありません（設定の作業者名と同じ書き方に）","単価がありません"),IF(AND(ISNUMBER(J1219),NOT(ISNUMBER(F1219))),"数量がありません","金額がありません")),IF(NOT(ISNUMBER(A1219)),"日付がありません（月別集計に入りません）",IF(AND(ISNUMBER(F1219),ISNUMBER(J1219),ISNUMBER(I1219)),"数量×単価を使いました（金額の欄は使っていません）","")))))))</f>
        <v/>
      </c>
      <c r="N1219" s="91">
        <f>IF(AND(B1219&lt;&gt;"",B1219='案件カード'!$C$3),COUNTIF($B$5:B1219,'案件カード'!$C$3),"")</f>
        <v/>
      </c>
      <c r="O1219" s="91">
        <f>IF(ISNUMBER(K1219),IF(B1219="",K1219,IF(AND(ISNUMBER(MATCH(B1219,'案件'!$A$6:$A$105,0)),OR(D1219="材料費",D1219="労務費",D1219="外注費",D1219="経費")),0,K1219)),0)</f>
        <v/>
      </c>
    </row>
    <row r="1220" ht="16" customHeight="1">
      <c r="A1220" s="35" t="n"/>
      <c r="B1220" s="36" t="n"/>
      <c r="C1220" s="37">
        <f>IF(B1220="","",IFERROR(INDEX('案件'!$B$6:$B$105,MATCH(B1220,'案件'!$A$6:$A$105,0))&amp;"","（案件シートに無い番号）"))</f>
        <v/>
      </c>
      <c r="D1220" s="36" t="n"/>
      <c r="E1220" s="38" t="n"/>
      <c r="F1220" s="39" t="n"/>
      <c r="G1220" s="36" t="n"/>
      <c r="H1220" s="40" t="n"/>
      <c r="I1220" s="40" t="n"/>
      <c r="J1220" s="41">
        <f>IF(ISNUMBER(H1220),H1220,IF(AND(D1220="労務費",TRIM(E1220)&lt;&gt;""),IFERROR(INDEX('設定'!$G$12:$G$31,MATCH(TRIM(E1220),'設定'!$J$12:$J$31,0)),""),""))</f>
        <v/>
      </c>
      <c r="K1220" s="30">
        <f>IF(AND(ISNUMBER(F1220),ISNUMBER(J1220)),ROUND(F1220*J1220,0),IF(ISNUMBER(I1220),I1220,""))</f>
        <v/>
      </c>
      <c r="L1220" s="33" t="n"/>
      <c r="M1220" s="34">
        <f>IF(COUNTA(A1220:B1220,D1220:I1220,L1220)=0,"",IF(B1220="","案件番号がありません",IF(ISNA(MATCH(B1220,'案件'!$A$6:$A$105,0)),"案件シートに無い番号です",IF(NOT(OR(D1220="材料費",D1220="労務費",D1220="外注費",D1220="経費")),"費目を4つから選んでください",IF(K1220="",IF(AND(ISNUMBER(F1220),NOT(ISNUMBER(J1220))),IF(D1220="労務費","単価がありません（設定の作業者名と同じ書き方に）","単価がありません"),IF(AND(ISNUMBER(J1220),NOT(ISNUMBER(F1220))),"数量がありません","金額がありません")),IF(NOT(ISNUMBER(A1220)),"日付がありません（月別集計に入りません）",IF(AND(ISNUMBER(F1220),ISNUMBER(J1220),ISNUMBER(I1220)),"数量×単価を使いました（金額の欄は使っていません）","")))))))</f>
        <v/>
      </c>
      <c r="N1220" s="91">
        <f>IF(AND(B1220&lt;&gt;"",B1220='案件カード'!$C$3),COUNTIF($B$5:B1220,'案件カード'!$C$3),"")</f>
        <v/>
      </c>
      <c r="O1220" s="91">
        <f>IF(ISNUMBER(K1220),IF(B1220="",K1220,IF(AND(ISNUMBER(MATCH(B1220,'案件'!$A$6:$A$105,0)),OR(D1220="材料費",D1220="労務費",D1220="外注費",D1220="経費")),0,K1220)),0)</f>
        <v/>
      </c>
    </row>
    <row r="1221" ht="16" customHeight="1">
      <c r="A1221" s="35" t="n"/>
      <c r="B1221" s="36" t="n"/>
      <c r="C1221" s="37">
        <f>IF(B1221="","",IFERROR(INDEX('案件'!$B$6:$B$105,MATCH(B1221,'案件'!$A$6:$A$105,0))&amp;"","（案件シートに無い番号）"))</f>
        <v/>
      </c>
      <c r="D1221" s="36" t="n"/>
      <c r="E1221" s="38" t="n"/>
      <c r="F1221" s="39" t="n"/>
      <c r="G1221" s="36" t="n"/>
      <c r="H1221" s="40" t="n"/>
      <c r="I1221" s="40" t="n"/>
      <c r="J1221" s="41">
        <f>IF(ISNUMBER(H1221),H1221,IF(AND(D1221="労務費",TRIM(E1221)&lt;&gt;""),IFERROR(INDEX('設定'!$G$12:$G$31,MATCH(TRIM(E1221),'設定'!$J$12:$J$31,0)),""),""))</f>
        <v/>
      </c>
      <c r="K1221" s="30">
        <f>IF(AND(ISNUMBER(F1221),ISNUMBER(J1221)),ROUND(F1221*J1221,0),IF(ISNUMBER(I1221),I1221,""))</f>
        <v/>
      </c>
      <c r="L1221" s="33" t="n"/>
      <c r="M1221" s="34">
        <f>IF(COUNTA(A1221:B1221,D1221:I1221,L1221)=0,"",IF(B1221="","案件番号がありません",IF(ISNA(MATCH(B1221,'案件'!$A$6:$A$105,0)),"案件シートに無い番号です",IF(NOT(OR(D1221="材料費",D1221="労務費",D1221="外注費",D1221="経費")),"費目を4つから選んでください",IF(K1221="",IF(AND(ISNUMBER(F1221),NOT(ISNUMBER(J1221))),IF(D1221="労務費","単価がありません（設定の作業者名と同じ書き方に）","単価がありません"),IF(AND(ISNUMBER(J1221),NOT(ISNUMBER(F1221))),"数量がありません","金額がありません")),IF(NOT(ISNUMBER(A1221)),"日付がありません（月別集計に入りません）",IF(AND(ISNUMBER(F1221),ISNUMBER(J1221),ISNUMBER(I1221)),"数量×単価を使いました（金額の欄は使っていません）","")))))))</f>
        <v/>
      </c>
      <c r="N1221" s="91">
        <f>IF(AND(B1221&lt;&gt;"",B1221='案件カード'!$C$3),COUNTIF($B$5:B1221,'案件カード'!$C$3),"")</f>
        <v/>
      </c>
      <c r="O1221" s="91">
        <f>IF(ISNUMBER(K1221),IF(B1221="",K1221,IF(AND(ISNUMBER(MATCH(B1221,'案件'!$A$6:$A$105,0)),OR(D1221="材料費",D1221="労務費",D1221="外注費",D1221="経費")),0,K1221)),0)</f>
        <v/>
      </c>
    </row>
    <row r="1222" ht="16" customHeight="1">
      <c r="A1222" s="35" t="n"/>
      <c r="B1222" s="36" t="n"/>
      <c r="C1222" s="37">
        <f>IF(B1222="","",IFERROR(INDEX('案件'!$B$6:$B$105,MATCH(B1222,'案件'!$A$6:$A$105,0))&amp;"","（案件シートに無い番号）"))</f>
        <v/>
      </c>
      <c r="D1222" s="36" t="n"/>
      <c r="E1222" s="38" t="n"/>
      <c r="F1222" s="39" t="n"/>
      <c r="G1222" s="36" t="n"/>
      <c r="H1222" s="40" t="n"/>
      <c r="I1222" s="40" t="n"/>
      <c r="J1222" s="41">
        <f>IF(ISNUMBER(H1222),H1222,IF(AND(D1222="労務費",TRIM(E1222)&lt;&gt;""),IFERROR(INDEX('設定'!$G$12:$G$31,MATCH(TRIM(E1222),'設定'!$J$12:$J$31,0)),""),""))</f>
        <v/>
      </c>
      <c r="K1222" s="30">
        <f>IF(AND(ISNUMBER(F1222),ISNUMBER(J1222)),ROUND(F1222*J1222,0),IF(ISNUMBER(I1222),I1222,""))</f>
        <v/>
      </c>
      <c r="L1222" s="33" t="n"/>
      <c r="M1222" s="34">
        <f>IF(COUNTA(A1222:B1222,D1222:I1222,L1222)=0,"",IF(B1222="","案件番号がありません",IF(ISNA(MATCH(B1222,'案件'!$A$6:$A$105,0)),"案件シートに無い番号です",IF(NOT(OR(D1222="材料費",D1222="労務費",D1222="外注費",D1222="経費")),"費目を4つから選んでください",IF(K1222="",IF(AND(ISNUMBER(F1222),NOT(ISNUMBER(J1222))),IF(D1222="労務費","単価がありません（設定の作業者名と同じ書き方に）","単価がありません"),IF(AND(ISNUMBER(J1222),NOT(ISNUMBER(F1222))),"数量がありません","金額がありません")),IF(NOT(ISNUMBER(A1222)),"日付がありません（月別集計に入りません）",IF(AND(ISNUMBER(F1222),ISNUMBER(J1222),ISNUMBER(I1222)),"数量×単価を使いました（金額の欄は使っていません）","")))))))</f>
        <v/>
      </c>
      <c r="N1222" s="91">
        <f>IF(AND(B1222&lt;&gt;"",B1222='案件カード'!$C$3),COUNTIF($B$5:B1222,'案件カード'!$C$3),"")</f>
        <v/>
      </c>
      <c r="O1222" s="91">
        <f>IF(ISNUMBER(K1222),IF(B1222="",K1222,IF(AND(ISNUMBER(MATCH(B1222,'案件'!$A$6:$A$105,0)),OR(D1222="材料費",D1222="労務費",D1222="外注費",D1222="経費")),0,K1222)),0)</f>
        <v/>
      </c>
    </row>
    <row r="1223" ht="16" customHeight="1">
      <c r="A1223" s="35" t="n"/>
      <c r="B1223" s="36" t="n"/>
      <c r="C1223" s="37">
        <f>IF(B1223="","",IFERROR(INDEX('案件'!$B$6:$B$105,MATCH(B1223,'案件'!$A$6:$A$105,0))&amp;"","（案件シートに無い番号）"))</f>
        <v/>
      </c>
      <c r="D1223" s="36" t="n"/>
      <c r="E1223" s="38" t="n"/>
      <c r="F1223" s="39" t="n"/>
      <c r="G1223" s="36" t="n"/>
      <c r="H1223" s="40" t="n"/>
      <c r="I1223" s="40" t="n"/>
      <c r="J1223" s="41">
        <f>IF(ISNUMBER(H1223),H1223,IF(AND(D1223="労務費",TRIM(E1223)&lt;&gt;""),IFERROR(INDEX('設定'!$G$12:$G$31,MATCH(TRIM(E1223),'設定'!$J$12:$J$31,0)),""),""))</f>
        <v/>
      </c>
      <c r="K1223" s="30">
        <f>IF(AND(ISNUMBER(F1223),ISNUMBER(J1223)),ROUND(F1223*J1223,0),IF(ISNUMBER(I1223),I1223,""))</f>
        <v/>
      </c>
      <c r="L1223" s="33" t="n"/>
      <c r="M1223" s="34">
        <f>IF(COUNTA(A1223:B1223,D1223:I1223,L1223)=0,"",IF(B1223="","案件番号がありません",IF(ISNA(MATCH(B1223,'案件'!$A$6:$A$105,0)),"案件シートに無い番号です",IF(NOT(OR(D1223="材料費",D1223="労務費",D1223="外注費",D1223="経費")),"費目を4つから選んでください",IF(K1223="",IF(AND(ISNUMBER(F1223),NOT(ISNUMBER(J1223))),IF(D1223="労務費","単価がありません（設定の作業者名と同じ書き方に）","単価がありません"),IF(AND(ISNUMBER(J1223),NOT(ISNUMBER(F1223))),"数量がありません","金額がありません")),IF(NOT(ISNUMBER(A1223)),"日付がありません（月別集計に入りません）",IF(AND(ISNUMBER(F1223),ISNUMBER(J1223),ISNUMBER(I1223)),"数量×単価を使いました（金額の欄は使っていません）","")))))))</f>
        <v/>
      </c>
      <c r="N1223" s="91">
        <f>IF(AND(B1223&lt;&gt;"",B1223='案件カード'!$C$3),COUNTIF($B$5:B1223,'案件カード'!$C$3),"")</f>
        <v/>
      </c>
      <c r="O1223" s="91">
        <f>IF(ISNUMBER(K1223),IF(B1223="",K1223,IF(AND(ISNUMBER(MATCH(B1223,'案件'!$A$6:$A$105,0)),OR(D1223="材料費",D1223="労務費",D1223="外注費",D1223="経費")),0,K1223)),0)</f>
        <v/>
      </c>
    </row>
    <row r="1224" ht="16" customHeight="1">
      <c r="A1224" s="35" t="n"/>
      <c r="B1224" s="36" t="n"/>
      <c r="C1224" s="37">
        <f>IF(B1224="","",IFERROR(INDEX('案件'!$B$6:$B$105,MATCH(B1224,'案件'!$A$6:$A$105,0))&amp;"","（案件シートに無い番号）"))</f>
        <v/>
      </c>
      <c r="D1224" s="36" t="n"/>
      <c r="E1224" s="38" t="n"/>
      <c r="F1224" s="39" t="n"/>
      <c r="G1224" s="36" t="n"/>
      <c r="H1224" s="40" t="n"/>
      <c r="I1224" s="40" t="n"/>
      <c r="J1224" s="41">
        <f>IF(ISNUMBER(H1224),H1224,IF(AND(D1224="労務費",TRIM(E1224)&lt;&gt;""),IFERROR(INDEX('設定'!$G$12:$G$31,MATCH(TRIM(E1224),'設定'!$J$12:$J$31,0)),""),""))</f>
        <v/>
      </c>
      <c r="K1224" s="30">
        <f>IF(AND(ISNUMBER(F1224),ISNUMBER(J1224)),ROUND(F1224*J1224,0),IF(ISNUMBER(I1224),I1224,""))</f>
        <v/>
      </c>
      <c r="L1224" s="33" t="n"/>
      <c r="M1224" s="34">
        <f>IF(COUNTA(A1224:B1224,D1224:I1224,L1224)=0,"",IF(B1224="","案件番号がありません",IF(ISNA(MATCH(B1224,'案件'!$A$6:$A$105,0)),"案件シートに無い番号です",IF(NOT(OR(D1224="材料費",D1224="労務費",D1224="外注費",D1224="経費")),"費目を4つから選んでください",IF(K1224="",IF(AND(ISNUMBER(F1224),NOT(ISNUMBER(J1224))),IF(D1224="労務費","単価がありません（設定の作業者名と同じ書き方に）","単価がありません"),IF(AND(ISNUMBER(J1224),NOT(ISNUMBER(F1224))),"数量がありません","金額がありません")),IF(NOT(ISNUMBER(A1224)),"日付がありません（月別集計に入りません）",IF(AND(ISNUMBER(F1224),ISNUMBER(J1224),ISNUMBER(I1224)),"数量×単価を使いました（金額の欄は使っていません）","")))))))</f>
        <v/>
      </c>
      <c r="N1224" s="91">
        <f>IF(AND(B1224&lt;&gt;"",B1224='案件カード'!$C$3),COUNTIF($B$5:B1224,'案件カード'!$C$3),"")</f>
        <v/>
      </c>
      <c r="O1224" s="91">
        <f>IF(ISNUMBER(K1224),IF(B1224="",K1224,IF(AND(ISNUMBER(MATCH(B1224,'案件'!$A$6:$A$105,0)),OR(D1224="材料費",D1224="労務費",D1224="外注費",D1224="経費")),0,K1224)),0)</f>
        <v/>
      </c>
    </row>
    <row r="1225" ht="16" customHeight="1">
      <c r="A1225" s="35" t="n"/>
      <c r="B1225" s="36" t="n"/>
      <c r="C1225" s="37">
        <f>IF(B1225="","",IFERROR(INDEX('案件'!$B$6:$B$105,MATCH(B1225,'案件'!$A$6:$A$105,0))&amp;"","（案件シートに無い番号）"))</f>
        <v/>
      </c>
      <c r="D1225" s="36" t="n"/>
      <c r="E1225" s="38" t="n"/>
      <c r="F1225" s="39" t="n"/>
      <c r="G1225" s="36" t="n"/>
      <c r="H1225" s="40" t="n"/>
      <c r="I1225" s="40" t="n"/>
      <c r="J1225" s="41">
        <f>IF(ISNUMBER(H1225),H1225,IF(AND(D1225="労務費",TRIM(E1225)&lt;&gt;""),IFERROR(INDEX('設定'!$G$12:$G$31,MATCH(TRIM(E1225),'設定'!$J$12:$J$31,0)),""),""))</f>
        <v/>
      </c>
      <c r="K1225" s="30">
        <f>IF(AND(ISNUMBER(F1225),ISNUMBER(J1225)),ROUND(F1225*J1225,0),IF(ISNUMBER(I1225),I1225,""))</f>
        <v/>
      </c>
      <c r="L1225" s="33" t="n"/>
      <c r="M1225" s="34">
        <f>IF(COUNTA(A1225:B1225,D1225:I1225,L1225)=0,"",IF(B1225="","案件番号がありません",IF(ISNA(MATCH(B1225,'案件'!$A$6:$A$105,0)),"案件シートに無い番号です",IF(NOT(OR(D1225="材料費",D1225="労務費",D1225="外注費",D1225="経費")),"費目を4つから選んでください",IF(K1225="",IF(AND(ISNUMBER(F1225),NOT(ISNUMBER(J1225))),IF(D1225="労務費","単価がありません（設定の作業者名と同じ書き方に）","単価がありません"),IF(AND(ISNUMBER(J1225),NOT(ISNUMBER(F1225))),"数量がありません","金額がありません")),IF(NOT(ISNUMBER(A1225)),"日付がありません（月別集計に入りません）",IF(AND(ISNUMBER(F1225),ISNUMBER(J1225),ISNUMBER(I1225)),"数量×単価を使いました（金額の欄は使っていません）","")))))))</f>
        <v/>
      </c>
      <c r="N1225" s="91">
        <f>IF(AND(B1225&lt;&gt;"",B1225='案件カード'!$C$3),COUNTIF($B$5:B1225,'案件カード'!$C$3),"")</f>
        <v/>
      </c>
      <c r="O1225" s="91">
        <f>IF(ISNUMBER(K1225),IF(B1225="",K1225,IF(AND(ISNUMBER(MATCH(B1225,'案件'!$A$6:$A$105,0)),OR(D1225="材料費",D1225="労務費",D1225="外注費",D1225="経費")),0,K1225)),0)</f>
        <v/>
      </c>
    </row>
    <row r="1226" ht="16" customHeight="1">
      <c r="A1226" s="35" t="n"/>
      <c r="B1226" s="36" t="n"/>
      <c r="C1226" s="37">
        <f>IF(B1226="","",IFERROR(INDEX('案件'!$B$6:$B$105,MATCH(B1226,'案件'!$A$6:$A$105,0))&amp;"","（案件シートに無い番号）"))</f>
        <v/>
      </c>
      <c r="D1226" s="36" t="n"/>
      <c r="E1226" s="38" t="n"/>
      <c r="F1226" s="39" t="n"/>
      <c r="G1226" s="36" t="n"/>
      <c r="H1226" s="40" t="n"/>
      <c r="I1226" s="40" t="n"/>
      <c r="J1226" s="41">
        <f>IF(ISNUMBER(H1226),H1226,IF(AND(D1226="労務費",TRIM(E1226)&lt;&gt;""),IFERROR(INDEX('設定'!$G$12:$G$31,MATCH(TRIM(E1226),'設定'!$J$12:$J$31,0)),""),""))</f>
        <v/>
      </c>
      <c r="K1226" s="30">
        <f>IF(AND(ISNUMBER(F1226),ISNUMBER(J1226)),ROUND(F1226*J1226,0),IF(ISNUMBER(I1226),I1226,""))</f>
        <v/>
      </c>
      <c r="L1226" s="33" t="n"/>
      <c r="M1226" s="34">
        <f>IF(COUNTA(A1226:B1226,D1226:I1226,L1226)=0,"",IF(B1226="","案件番号がありません",IF(ISNA(MATCH(B1226,'案件'!$A$6:$A$105,0)),"案件シートに無い番号です",IF(NOT(OR(D1226="材料費",D1226="労務費",D1226="外注費",D1226="経費")),"費目を4つから選んでください",IF(K1226="",IF(AND(ISNUMBER(F1226),NOT(ISNUMBER(J1226))),IF(D1226="労務費","単価がありません（設定の作業者名と同じ書き方に）","単価がありません"),IF(AND(ISNUMBER(J1226),NOT(ISNUMBER(F1226))),"数量がありません","金額がありません")),IF(NOT(ISNUMBER(A1226)),"日付がありません（月別集計に入りません）",IF(AND(ISNUMBER(F1226),ISNUMBER(J1226),ISNUMBER(I1226)),"数量×単価を使いました（金額の欄は使っていません）","")))))))</f>
        <v/>
      </c>
      <c r="N1226" s="91">
        <f>IF(AND(B1226&lt;&gt;"",B1226='案件カード'!$C$3),COUNTIF($B$5:B1226,'案件カード'!$C$3),"")</f>
        <v/>
      </c>
      <c r="O1226" s="91">
        <f>IF(ISNUMBER(K1226),IF(B1226="",K1226,IF(AND(ISNUMBER(MATCH(B1226,'案件'!$A$6:$A$105,0)),OR(D1226="材料費",D1226="労務費",D1226="外注費",D1226="経費")),0,K1226)),0)</f>
        <v/>
      </c>
    </row>
    <row r="1227" ht="16" customHeight="1">
      <c r="A1227" s="35" t="n"/>
      <c r="B1227" s="36" t="n"/>
      <c r="C1227" s="37">
        <f>IF(B1227="","",IFERROR(INDEX('案件'!$B$6:$B$105,MATCH(B1227,'案件'!$A$6:$A$105,0))&amp;"","（案件シートに無い番号）"))</f>
        <v/>
      </c>
      <c r="D1227" s="36" t="n"/>
      <c r="E1227" s="38" t="n"/>
      <c r="F1227" s="39" t="n"/>
      <c r="G1227" s="36" t="n"/>
      <c r="H1227" s="40" t="n"/>
      <c r="I1227" s="40" t="n"/>
      <c r="J1227" s="41">
        <f>IF(ISNUMBER(H1227),H1227,IF(AND(D1227="労務費",TRIM(E1227)&lt;&gt;""),IFERROR(INDEX('設定'!$G$12:$G$31,MATCH(TRIM(E1227),'設定'!$J$12:$J$31,0)),""),""))</f>
        <v/>
      </c>
      <c r="K1227" s="30">
        <f>IF(AND(ISNUMBER(F1227),ISNUMBER(J1227)),ROUND(F1227*J1227,0),IF(ISNUMBER(I1227),I1227,""))</f>
        <v/>
      </c>
      <c r="L1227" s="33" t="n"/>
      <c r="M1227" s="34">
        <f>IF(COUNTA(A1227:B1227,D1227:I1227,L1227)=0,"",IF(B1227="","案件番号がありません",IF(ISNA(MATCH(B1227,'案件'!$A$6:$A$105,0)),"案件シートに無い番号です",IF(NOT(OR(D1227="材料費",D1227="労務費",D1227="外注費",D1227="経費")),"費目を4つから選んでください",IF(K1227="",IF(AND(ISNUMBER(F1227),NOT(ISNUMBER(J1227))),IF(D1227="労務費","単価がありません（設定の作業者名と同じ書き方に）","単価がありません"),IF(AND(ISNUMBER(J1227),NOT(ISNUMBER(F1227))),"数量がありません","金額がありません")),IF(NOT(ISNUMBER(A1227)),"日付がありません（月別集計に入りません）",IF(AND(ISNUMBER(F1227),ISNUMBER(J1227),ISNUMBER(I1227)),"数量×単価を使いました（金額の欄は使っていません）","")))))))</f>
        <v/>
      </c>
      <c r="N1227" s="91">
        <f>IF(AND(B1227&lt;&gt;"",B1227='案件カード'!$C$3),COUNTIF($B$5:B1227,'案件カード'!$C$3),"")</f>
        <v/>
      </c>
      <c r="O1227" s="91">
        <f>IF(ISNUMBER(K1227),IF(B1227="",K1227,IF(AND(ISNUMBER(MATCH(B1227,'案件'!$A$6:$A$105,0)),OR(D1227="材料費",D1227="労務費",D1227="外注費",D1227="経費")),0,K1227)),0)</f>
        <v/>
      </c>
    </row>
    <row r="1228" ht="16" customHeight="1">
      <c r="A1228" s="35" t="n"/>
      <c r="B1228" s="36" t="n"/>
      <c r="C1228" s="37">
        <f>IF(B1228="","",IFERROR(INDEX('案件'!$B$6:$B$105,MATCH(B1228,'案件'!$A$6:$A$105,0))&amp;"","（案件シートに無い番号）"))</f>
        <v/>
      </c>
      <c r="D1228" s="36" t="n"/>
      <c r="E1228" s="38" t="n"/>
      <c r="F1228" s="39" t="n"/>
      <c r="G1228" s="36" t="n"/>
      <c r="H1228" s="40" t="n"/>
      <c r="I1228" s="40" t="n"/>
      <c r="J1228" s="41">
        <f>IF(ISNUMBER(H1228),H1228,IF(AND(D1228="労務費",TRIM(E1228)&lt;&gt;""),IFERROR(INDEX('設定'!$G$12:$G$31,MATCH(TRIM(E1228),'設定'!$J$12:$J$31,0)),""),""))</f>
        <v/>
      </c>
      <c r="K1228" s="30">
        <f>IF(AND(ISNUMBER(F1228),ISNUMBER(J1228)),ROUND(F1228*J1228,0),IF(ISNUMBER(I1228),I1228,""))</f>
        <v/>
      </c>
      <c r="L1228" s="33" t="n"/>
      <c r="M1228" s="34">
        <f>IF(COUNTA(A1228:B1228,D1228:I1228,L1228)=0,"",IF(B1228="","案件番号がありません",IF(ISNA(MATCH(B1228,'案件'!$A$6:$A$105,0)),"案件シートに無い番号です",IF(NOT(OR(D1228="材料費",D1228="労務費",D1228="外注費",D1228="経費")),"費目を4つから選んでください",IF(K1228="",IF(AND(ISNUMBER(F1228),NOT(ISNUMBER(J1228))),IF(D1228="労務費","単価がありません（設定の作業者名と同じ書き方に）","単価がありません"),IF(AND(ISNUMBER(J1228),NOT(ISNUMBER(F1228))),"数量がありません","金額がありません")),IF(NOT(ISNUMBER(A1228)),"日付がありません（月別集計に入りません）",IF(AND(ISNUMBER(F1228),ISNUMBER(J1228),ISNUMBER(I1228)),"数量×単価を使いました（金額の欄は使っていません）","")))))))</f>
        <v/>
      </c>
      <c r="N1228" s="91">
        <f>IF(AND(B1228&lt;&gt;"",B1228='案件カード'!$C$3),COUNTIF($B$5:B1228,'案件カード'!$C$3),"")</f>
        <v/>
      </c>
      <c r="O1228" s="91">
        <f>IF(ISNUMBER(K1228),IF(B1228="",K1228,IF(AND(ISNUMBER(MATCH(B1228,'案件'!$A$6:$A$105,0)),OR(D1228="材料費",D1228="労務費",D1228="外注費",D1228="経費")),0,K1228)),0)</f>
        <v/>
      </c>
    </row>
    <row r="1229" ht="16" customHeight="1">
      <c r="A1229" s="35" t="n"/>
      <c r="B1229" s="36" t="n"/>
      <c r="C1229" s="37">
        <f>IF(B1229="","",IFERROR(INDEX('案件'!$B$6:$B$105,MATCH(B1229,'案件'!$A$6:$A$105,0))&amp;"","（案件シートに無い番号）"))</f>
        <v/>
      </c>
      <c r="D1229" s="36" t="n"/>
      <c r="E1229" s="38" t="n"/>
      <c r="F1229" s="39" t="n"/>
      <c r="G1229" s="36" t="n"/>
      <c r="H1229" s="40" t="n"/>
      <c r="I1229" s="40" t="n"/>
      <c r="J1229" s="41">
        <f>IF(ISNUMBER(H1229),H1229,IF(AND(D1229="労務費",TRIM(E1229)&lt;&gt;""),IFERROR(INDEX('設定'!$G$12:$G$31,MATCH(TRIM(E1229),'設定'!$J$12:$J$31,0)),""),""))</f>
        <v/>
      </c>
      <c r="K1229" s="30">
        <f>IF(AND(ISNUMBER(F1229),ISNUMBER(J1229)),ROUND(F1229*J1229,0),IF(ISNUMBER(I1229),I1229,""))</f>
        <v/>
      </c>
      <c r="L1229" s="33" t="n"/>
      <c r="M1229" s="34">
        <f>IF(COUNTA(A1229:B1229,D1229:I1229,L1229)=0,"",IF(B1229="","案件番号がありません",IF(ISNA(MATCH(B1229,'案件'!$A$6:$A$105,0)),"案件シートに無い番号です",IF(NOT(OR(D1229="材料費",D1229="労務費",D1229="外注費",D1229="経費")),"費目を4つから選んでください",IF(K1229="",IF(AND(ISNUMBER(F1229),NOT(ISNUMBER(J1229))),IF(D1229="労務費","単価がありません（設定の作業者名と同じ書き方に）","単価がありません"),IF(AND(ISNUMBER(J1229),NOT(ISNUMBER(F1229))),"数量がありません","金額がありません")),IF(NOT(ISNUMBER(A1229)),"日付がありません（月別集計に入りません）",IF(AND(ISNUMBER(F1229),ISNUMBER(J1229),ISNUMBER(I1229)),"数量×単価を使いました（金額の欄は使っていません）","")))))))</f>
        <v/>
      </c>
      <c r="N1229" s="91">
        <f>IF(AND(B1229&lt;&gt;"",B1229='案件カード'!$C$3),COUNTIF($B$5:B1229,'案件カード'!$C$3),"")</f>
        <v/>
      </c>
      <c r="O1229" s="91">
        <f>IF(ISNUMBER(K1229),IF(B1229="",K1229,IF(AND(ISNUMBER(MATCH(B1229,'案件'!$A$6:$A$105,0)),OR(D1229="材料費",D1229="労務費",D1229="外注費",D1229="経費")),0,K1229)),0)</f>
        <v/>
      </c>
    </row>
    <row r="1230" ht="16" customHeight="1">
      <c r="A1230" s="35" t="n"/>
      <c r="B1230" s="36" t="n"/>
      <c r="C1230" s="37">
        <f>IF(B1230="","",IFERROR(INDEX('案件'!$B$6:$B$105,MATCH(B1230,'案件'!$A$6:$A$105,0))&amp;"","（案件シートに無い番号）"))</f>
        <v/>
      </c>
      <c r="D1230" s="36" t="n"/>
      <c r="E1230" s="38" t="n"/>
      <c r="F1230" s="39" t="n"/>
      <c r="G1230" s="36" t="n"/>
      <c r="H1230" s="40" t="n"/>
      <c r="I1230" s="40" t="n"/>
      <c r="J1230" s="41">
        <f>IF(ISNUMBER(H1230),H1230,IF(AND(D1230="労務費",TRIM(E1230)&lt;&gt;""),IFERROR(INDEX('設定'!$G$12:$G$31,MATCH(TRIM(E1230),'設定'!$J$12:$J$31,0)),""),""))</f>
        <v/>
      </c>
      <c r="K1230" s="30">
        <f>IF(AND(ISNUMBER(F1230),ISNUMBER(J1230)),ROUND(F1230*J1230,0),IF(ISNUMBER(I1230),I1230,""))</f>
        <v/>
      </c>
      <c r="L1230" s="33" t="n"/>
      <c r="M1230" s="34">
        <f>IF(COUNTA(A1230:B1230,D1230:I1230,L1230)=0,"",IF(B1230="","案件番号がありません",IF(ISNA(MATCH(B1230,'案件'!$A$6:$A$105,0)),"案件シートに無い番号です",IF(NOT(OR(D1230="材料費",D1230="労務費",D1230="外注費",D1230="経費")),"費目を4つから選んでください",IF(K1230="",IF(AND(ISNUMBER(F1230),NOT(ISNUMBER(J1230))),IF(D1230="労務費","単価がありません（設定の作業者名と同じ書き方に）","単価がありません"),IF(AND(ISNUMBER(J1230),NOT(ISNUMBER(F1230))),"数量がありません","金額がありません")),IF(NOT(ISNUMBER(A1230)),"日付がありません（月別集計に入りません）",IF(AND(ISNUMBER(F1230),ISNUMBER(J1230),ISNUMBER(I1230)),"数量×単価を使いました（金額の欄は使っていません）","")))))))</f>
        <v/>
      </c>
      <c r="N1230" s="91">
        <f>IF(AND(B1230&lt;&gt;"",B1230='案件カード'!$C$3),COUNTIF($B$5:B1230,'案件カード'!$C$3),"")</f>
        <v/>
      </c>
      <c r="O1230" s="91">
        <f>IF(ISNUMBER(K1230),IF(B1230="",K1230,IF(AND(ISNUMBER(MATCH(B1230,'案件'!$A$6:$A$105,0)),OR(D1230="材料費",D1230="労務費",D1230="外注費",D1230="経費")),0,K1230)),0)</f>
        <v/>
      </c>
    </row>
    <row r="1231" ht="16" customHeight="1">
      <c r="A1231" s="35" t="n"/>
      <c r="B1231" s="36" t="n"/>
      <c r="C1231" s="37">
        <f>IF(B1231="","",IFERROR(INDEX('案件'!$B$6:$B$105,MATCH(B1231,'案件'!$A$6:$A$105,0))&amp;"","（案件シートに無い番号）"))</f>
        <v/>
      </c>
      <c r="D1231" s="36" t="n"/>
      <c r="E1231" s="38" t="n"/>
      <c r="F1231" s="39" t="n"/>
      <c r="G1231" s="36" t="n"/>
      <c r="H1231" s="40" t="n"/>
      <c r="I1231" s="40" t="n"/>
      <c r="J1231" s="41">
        <f>IF(ISNUMBER(H1231),H1231,IF(AND(D1231="労務費",TRIM(E1231)&lt;&gt;""),IFERROR(INDEX('設定'!$G$12:$G$31,MATCH(TRIM(E1231),'設定'!$J$12:$J$31,0)),""),""))</f>
        <v/>
      </c>
      <c r="K1231" s="30">
        <f>IF(AND(ISNUMBER(F1231),ISNUMBER(J1231)),ROUND(F1231*J1231,0),IF(ISNUMBER(I1231),I1231,""))</f>
        <v/>
      </c>
      <c r="L1231" s="33" t="n"/>
      <c r="M1231" s="34">
        <f>IF(COUNTA(A1231:B1231,D1231:I1231,L1231)=0,"",IF(B1231="","案件番号がありません",IF(ISNA(MATCH(B1231,'案件'!$A$6:$A$105,0)),"案件シートに無い番号です",IF(NOT(OR(D1231="材料費",D1231="労務費",D1231="外注費",D1231="経費")),"費目を4つから選んでください",IF(K1231="",IF(AND(ISNUMBER(F1231),NOT(ISNUMBER(J1231))),IF(D1231="労務費","単価がありません（設定の作業者名と同じ書き方に）","単価がありません"),IF(AND(ISNUMBER(J1231),NOT(ISNUMBER(F1231))),"数量がありません","金額がありません")),IF(NOT(ISNUMBER(A1231)),"日付がありません（月別集計に入りません）",IF(AND(ISNUMBER(F1231),ISNUMBER(J1231),ISNUMBER(I1231)),"数量×単価を使いました（金額の欄は使っていません）","")))))))</f>
        <v/>
      </c>
      <c r="N1231" s="91">
        <f>IF(AND(B1231&lt;&gt;"",B1231='案件カード'!$C$3),COUNTIF($B$5:B1231,'案件カード'!$C$3),"")</f>
        <v/>
      </c>
      <c r="O1231" s="91">
        <f>IF(ISNUMBER(K1231),IF(B1231="",K1231,IF(AND(ISNUMBER(MATCH(B1231,'案件'!$A$6:$A$105,0)),OR(D1231="材料費",D1231="労務費",D1231="外注費",D1231="経費")),0,K1231)),0)</f>
        <v/>
      </c>
    </row>
    <row r="1232" ht="16" customHeight="1">
      <c r="A1232" s="35" t="n"/>
      <c r="B1232" s="36" t="n"/>
      <c r="C1232" s="37">
        <f>IF(B1232="","",IFERROR(INDEX('案件'!$B$6:$B$105,MATCH(B1232,'案件'!$A$6:$A$105,0))&amp;"","（案件シートに無い番号）"))</f>
        <v/>
      </c>
      <c r="D1232" s="36" t="n"/>
      <c r="E1232" s="38" t="n"/>
      <c r="F1232" s="39" t="n"/>
      <c r="G1232" s="36" t="n"/>
      <c r="H1232" s="40" t="n"/>
      <c r="I1232" s="40" t="n"/>
      <c r="J1232" s="41">
        <f>IF(ISNUMBER(H1232),H1232,IF(AND(D1232="労務費",TRIM(E1232)&lt;&gt;""),IFERROR(INDEX('設定'!$G$12:$G$31,MATCH(TRIM(E1232),'設定'!$J$12:$J$31,0)),""),""))</f>
        <v/>
      </c>
      <c r="K1232" s="30">
        <f>IF(AND(ISNUMBER(F1232),ISNUMBER(J1232)),ROUND(F1232*J1232,0),IF(ISNUMBER(I1232),I1232,""))</f>
        <v/>
      </c>
      <c r="L1232" s="33" t="n"/>
      <c r="M1232" s="34">
        <f>IF(COUNTA(A1232:B1232,D1232:I1232,L1232)=0,"",IF(B1232="","案件番号がありません",IF(ISNA(MATCH(B1232,'案件'!$A$6:$A$105,0)),"案件シートに無い番号です",IF(NOT(OR(D1232="材料費",D1232="労務費",D1232="外注費",D1232="経費")),"費目を4つから選んでください",IF(K1232="",IF(AND(ISNUMBER(F1232),NOT(ISNUMBER(J1232))),IF(D1232="労務費","単価がありません（設定の作業者名と同じ書き方に）","単価がありません"),IF(AND(ISNUMBER(J1232),NOT(ISNUMBER(F1232))),"数量がありません","金額がありません")),IF(NOT(ISNUMBER(A1232)),"日付がありません（月別集計に入りません）",IF(AND(ISNUMBER(F1232),ISNUMBER(J1232),ISNUMBER(I1232)),"数量×単価を使いました（金額の欄は使っていません）","")))))))</f>
        <v/>
      </c>
      <c r="N1232" s="91">
        <f>IF(AND(B1232&lt;&gt;"",B1232='案件カード'!$C$3),COUNTIF($B$5:B1232,'案件カード'!$C$3),"")</f>
        <v/>
      </c>
      <c r="O1232" s="91">
        <f>IF(ISNUMBER(K1232),IF(B1232="",K1232,IF(AND(ISNUMBER(MATCH(B1232,'案件'!$A$6:$A$105,0)),OR(D1232="材料費",D1232="労務費",D1232="外注費",D1232="経費")),0,K1232)),0)</f>
        <v/>
      </c>
    </row>
    <row r="1233" ht="16" customHeight="1">
      <c r="A1233" s="35" t="n"/>
      <c r="B1233" s="36" t="n"/>
      <c r="C1233" s="37">
        <f>IF(B1233="","",IFERROR(INDEX('案件'!$B$6:$B$105,MATCH(B1233,'案件'!$A$6:$A$105,0))&amp;"","（案件シートに無い番号）"))</f>
        <v/>
      </c>
      <c r="D1233" s="36" t="n"/>
      <c r="E1233" s="38" t="n"/>
      <c r="F1233" s="39" t="n"/>
      <c r="G1233" s="36" t="n"/>
      <c r="H1233" s="40" t="n"/>
      <c r="I1233" s="40" t="n"/>
      <c r="J1233" s="41">
        <f>IF(ISNUMBER(H1233),H1233,IF(AND(D1233="労務費",TRIM(E1233)&lt;&gt;""),IFERROR(INDEX('設定'!$G$12:$G$31,MATCH(TRIM(E1233),'設定'!$J$12:$J$31,0)),""),""))</f>
        <v/>
      </c>
      <c r="K1233" s="30">
        <f>IF(AND(ISNUMBER(F1233),ISNUMBER(J1233)),ROUND(F1233*J1233,0),IF(ISNUMBER(I1233),I1233,""))</f>
        <v/>
      </c>
      <c r="L1233" s="33" t="n"/>
      <c r="M1233" s="34">
        <f>IF(COUNTA(A1233:B1233,D1233:I1233,L1233)=0,"",IF(B1233="","案件番号がありません",IF(ISNA(MATCH(B1233,'案件'!$A$6:$A$105,0)),"案件シートに無い番号です",IF(NOT(OR(D1233="材料費",D1233="労務費",D1233="外注費",D1233="経費")),"費目を4つから選んでください",IF(K1233="",IF(AND(ISNUMBER(F1233),NOT(ISNUMBER(J1233))),IF(D1233="労務費","単価がありません（設定の作業者名と同じ書き方に）","単価がありません"),IF(AND(ISNUMBER(J1233),NOT(ISNUMBER(F1233))),"数量がありません","金額がありません")),IF(NOT(ISNUMBER(A1233)),"日付がありません（月別集計に入りません）",IF(AND(ISNUMBER(F1233),ISNUMBER(J1233),ISNUMBER(I1233)),"数量×単価を使いました（金額の欄は使っていません）","")))))))</f>
        <v/>
      </c>
      <c r="N1233" s="91">
        <f>IF(AND(B1233&lt;&gt;"",B1233='案件カード'!$C$3),COUNTIF($B$5:B1233,'案件カード'!$C$3),"")</f>
        <v/>
      </c>
      <c r="O1233" s="91">
        <f>IF(ISNUMBER(K1233),IF(B1233="",K1233,IF(AND(ISNUMBER(MATCH(B1233,'案件'!$A$6:$A$105,0)),OR(D1233="材料費",D1233="労務費",D1233="外注費",D1233="経費")),0,K1233)),0)</f>
        <v/>
      </c>
    </row>
    <row r="1234" ht="16" customHeight="1">
      <c r="A1234" s="35" t="n"/>
      <c r="B1234" s="36" t="n"/>
      <c r="C1234" s="37">
        <f>IF(B1234="","",IFERROR(INDEX('案件'!$B$6:$B$105,MATCH(B1234,'案件'!$A$6:$A$105,0))&amp;"","（案件シートに無い番号）"))</f>
        <v/>
      </c>
      <c r="D1234" s="36" t="n"/>
      <c r="E1234" s="38" t="n"/>
      <c r="F1234" s="39" t="n"/>
      <c r="G1234" s="36" t="n"/>
      <c r="H1234" s="40" t="n"/>
      <c r="I1234" s="40" t="n"/>
      <c r="J1234" s="41">
        <f>IF(ISNUMBER(H1234),H1234,IF(AND(D1234="労務費",TRIM(E1234)&lt;&gt;""),IFERROR(INDEX('設定'!$G$12:$G$31,MATCH(TRIM(E1234),'設定'!$J$12:$J$31,0)),""),""))</f>
        <v/>
      </c>
      <c r="K1234" s="30">
        <f>IF(AND(ISNUMBER(F1234),ISNUMBER(J1234)),ROUND(F1234*J1234,0),IF(ISNUMBER(I1234),I1234,""))</f>
        <v/>
      </c>
      <c r="L1234" s="33" t="n"/>
      <c r="M1234" s="34">
        <f>IF(COUNTA(A1234:B1234,D1234:I1234,L1234)=0,"",IF(B1234="","案件番号がありません",IF(ISNA(MATCH(B1234,'案件'!$A$6:$A$105,0)),"案件シートに無い番号です",IF(NOT(OR(D1234="材料費",D1234="労務費",D1234="外注費",D1234="経費")),"費目を4つから選んでください",IF(K1234="",IF(AND(ISNUMBER(F1234),NOT(ISNUMBER(J1234))),IF(D1234="労務費","単価がありません（設定の作業者名と同じ書き方に）","単価がありません"),IF(AND(ISNUMBER(J1234),NOT(ISNUMBER(F1234))),"数量がありません","金額がありません")),IF(NOT(ISNUMBER(A1234)),"日付がありません（月別集計に入りません）",IF(AND(ISNUMBER(F1234),ISNUMBER(J1234),ISNUMBER(I1234)),"数量×単価を使いました（金額の欄は使っていません）","")))))))</f>
        <v/>
      </c>
      <c r="N1234" s="91">
        <f>IF(AND(B1234&lt;&gt;"",B1234='案件カード'!$C$3),COUNTIF($B$5:B1234,'案件カード'!$C$3),"")</f>
        <v/>
      </c>
      <c r="O1234" s="91">
        <f>IF(ISNUMBER(K1234),IF(B1234="",K1234,IF(AND(ISNUMBER(MATCH(B1234,'案件'!$A$6:$A$105,0)),OR(D1234="材料費",D1234="労務費",D1234="外注費",D1234="経費")),0,K1234)),0)</f>
        <v/>
      </c>
    </row>
    <row r="1235" ht="16" customHeight="1">
      <c r="A1235" s="35" t="n"/>
      <c r="B1235" s="36" t="n"/>
      <c r="C1235" s="37">
        <f>IF(B1235="","",IFERROR(INDEX('案件'!$B$6:$B$105,MATCH(B1235,'案件'!$A$6:$A$105,0))&amp;"","（案件シートに無い番号）"))</f>
        <v/>
      </c>
      <c r="D1235" s="36" t="n"/>
      <c r="E1235" s="38" t="n"/>
      <c r="F1235" s="39" t="n"/>
      <c r="G1235" s="36" t="n"/>
      <c r="H1235" s="40" t="n"/>
      <c r="I1235" s="40" t="n"/>
      <c r="J1235" s="41">
        <f>IF(ISNUMBER(H1235),H1235,IF(AND(D1235="労務費",TRIM(E1235)&lt;&gt;""),IFERROR(INDEX('設定'!$G$12:$G$31,MATCH(TRIM(E1235),'設定'!$J$12:$J$31,0)),""),""))</f>
        <v/>
      </c>
      <c r="K1235" s="30">
        <f>IF(AND(ISNUMBER(F1235),ISNUMBER(J1235)),ROUND(F1235*J1235,0),IF(ISNUMBER(I1235),I1235,""))</f>
        <v/>
      </c>
      <c r="L1235" s="33" t="n"/>
      <c r="M1235" s="34">
        <f>IF(COUNTA(A1235:B1235,D1235:I1235,L1235)=0,"",IF(B1235="","案件番号がありません",IF(ISNA(MATCH(B1235,'案件'!$A$6:$A$105,0)),"案件シートに無い番号です",IF(NOT(OR(D1235="材料費",D1235="労務費",D1235="外注費",D1235="経費")),"費目を4つから選んでください",IF(K1235="",IF(AND(ISNUMBER(F1235),NOT(ISNUMBER(J1235))),IF(D1235="労務費","単価がありません（設定の作業者名と同じ書き方に）","単価がありません"),IF(AND(ISNUMBER(J1235),NOT(ISNUMBER(F1235))),"数量がありません","金額がありません")),IF(NOT(ISNUMBER(A1235)),"日付がありません（月別集計に入りません）",IF(AND(ISNUMBER(F1235),ISNUMBER(J1235),ISNUMBER(I1235)),"数量×単価を使いました（金額の欄は使っていません）","")))))))</f>
        <v/>
      </c>
      <c r="N1235" s="91">
        <f>IF(AND(B1235&lt;&gt;"",B1235='案件カード'!$C$3),COUNTIF($B$5:B1235,'案件カード'!$C$3),"")</f>
        <v/>
      </c>
      <c r="O1235" s="91">
        <f>IF(ISNUMBER(K1235),IF(B1235="",K1235,IF(AND(ISNUMBER(MATCH(B1235,'案件'!$A$6:$A$105,0)),OR(D1235="材料費",D1235="労務費",D1235="外注費",D1235="経費")),0,K1235)),0)</f>
        <v/>
      </c>
    </row>
    <row r="1236" ht="16" customHeight="1">
      <c r="A1236" s="35" t="n"/>
      <c r="B1236" s="36" t="n"/>
      <c r="C1236" s="37">
        <f>IF(B1236="","",IFERROR(INDEX('案件'!$B$6:$B$105,MATCH(B1236,'案件'!$A$6:$A$105,0))&amp;"","（案件シートに無い番号）"))</f>
        <v/>
      </c>
      <c r="D1236" s="36" t="n"/>
      <c r="E1236" s="38" t="n"/>
      <c r="F1236" s="39" t="n"/>
      <c r="G1236" s="36" t="n"/>
      <c r="H1236" s="40" t="n"/>
      <c r="I1236" s="40" t="n"/>
      <c r="J1236" s="41">
        <f>IF(ISNUMBER(H1236),H1236,IF(AND(D1236="労務費",TRIM(E1236)&lt;&gt;""),IFERROR(INDEX('設定'!$G$12:$G$31,MATCH(TRIM(E1236),'設定'!$J$12:$J$31,0)),""),""))</f>
        <v/>
      </c>
      <c r="K1236" s="30">
        <f>IF(AND(ISNUMBER(F1236),ISNUMBER(J1236)),ROUND(F1236*J1236,0),IF(ISNUMBER(I1236),I1236,""))</f>
        <v/>
      </c>
      <c r="L1236" s="33" t="n"/>
      <c r="M1236" s="34">
        <f>IF(COUNTA(A1236:B1236,D1236:I1236,L1236)=0,"",IF(B1236="","案件番号がありません",IF(ISNA(MATCH(B1236,'案件'!$A$6:$A$105,0)),"案件シートに無い番号です",IF(NOT(OR(D1236="材料費",D1236="労務費",D1236="外注費",D1236="経費")),"費目を4つから選んでください",IF(K1236="",IF(AND(ISNUMBER(F1236),NOT(ISNUMBER(J1236))),IF(D1236="労務費","単価がありません（設定の作業者名と同じ書き方に）","単価がありません"),IF(AND(ISNUMBER(J1236),NOT(ISNUMBER(F1236))),"数量がありません","金額がありません")),IF(NOT(ISNUMBER(A1236)),"日付がありません（月別集計に入りません）",IF(AND(ISNUMBER(F1236),ISNUMBER(J1236),ISNUMBER(I1236)),"数量×単価を使いました（金額の欄は使っていません）","")))))))</f>
        <v/>
      </c>
      <c r="N1236" s="91">
        <f>IF(AND(B1236&lt;&gt;"",B1236='案件カード'!$C$3),COUNTIF($B$5:B1236,'案件カード'!$C$3),"")</f>
        <v/>
      </c>
      <c r="O1236" s="91">
        <f>IF(ISNUMBER(K1236),IF(B1236="",K1236,IF(AND(ISNUMBER(MATCH(B1236,'案件'!$A$6:$A$105,0)),OR(D1236="材料費",D1236="労務費",D1236="外注費",D1236="経費")),0,K1236)),0)</f>
        <v/>
      </c>
    </row>
    <row r="1237" ht="16" customHeight="1">
      <c r="A1237" s="35" t="n"/>
      <c r="B1237" s="36" t="n"/>
      <c r="C1237" s="37">
        <f>IF(B1237="","",IFERROR(INDEX('案件'!$B$6:$B$105,MATCH(B1237,'案件'!$A$6:$A$105,0))&amp;"","（案件シートに無い番号）"))</f>
        <v/>
      </c>
      <c r="D1237" s="36" t="n"/>
      <c r="E1237" s="38" t="n"/>
      <c r="F1237" s="39" t="n"/>
      <c r="G1237" s="36" t="n"/>
      <c r="H1237" s="40" t="n"/>
      <c r="I1237" s="40" t="n"/>
      <c r="J1237" s="41">
        <f>IF(ISNUMBER(H1237),H1237,IF(AND(D1237="労務費",TRIM(E1237)&lt;&gt;""),IFERROR(INDEX('設定'!$G$12:$G$31,MATCH(TRIM(E1237),'設定'!$J$12:$J$31,0)),""),""))</f>
        <v/>
      </c>
      <c r="K1237" s="30">
        <f>IF(AND(ISNUMBER(F1237),ISNUMBER(J1237)),ROUND(F1237*J1237,0),IF(ISNUMBER(I1237),I1237,""))</f>
        <v/>
      </c>
      <c r="L1237" s="33" t="n"/>
      <c r="M1237" s="34">
        <f>IF(COUNTA(A1237:B1237,D1237:I1237,L1237)=0,"",IF(B1237="","案件番号がありません",IF(ISNA(MATCH(B1237,'案件'!$A$6:$A$105,0)),"案件シートに無い番号です",IF(NOT(OR(D1237="材料費",D1237="労務費",D1237="外注費",D1237="経費")),"費目を4つから選んでください",IF(K1237="",IF(AND(ISNUMBER(F1237),NOT(ISNUMBER(J1237))),IF(D1237="労務費","単価がありません（設定の作業者名と同じ書き方に）","単価がありません"),IF(AND(ISNUMBER(J1237),NOT(ISNUMBER(F1237))),"数量がありません","金額がありません")),IF(NOT(ISNUMBER(A1237)),"日付がありません（月別集計に入りません）",IF(AND(ISNUMBER(F1237),ISNUMBER(J1237),ISNUMBER(I1237)),"数量×単価を使いました（金額の欄は使っていません）","")))))))</f>
        <v/>
      </c>
      <c r="N1237" s="91">
        <f>IF(AND(B1237&lt;&gt;"",B1237='案件カード'!$C$3),COUNTIF($B$5:B1237,'案件カード'!$C$3),"")</f>
        <v/>
      </c>
      <c r="O1237" s="91">
        <f>IF(ISNUMBER(K1237),IF(B1237="",K1237,IF(AND(ISNUMBER(MATCH(B1237,'案件'!$A$6:$A$105,0)),OR(D1237="材料費",D1237="労務費",D1237="外注費",D1237="経費")),0,K1237)),0)</f>
        <v/>
      </c>
    </row>
    <row r="1238" ht="16" customHeight="1">
      <c r="A1238" s="35" t="n"/>
      <c r="B1238" s="36" t="n"/>
      <c r="C1238" s="37">
        <f>IF(B1238="","",IFERROR(INDEX('案件'!$B$6:$B$105,MATCH(B1238,'案件'!$A$6:$A$105,0))&amp;"","（案件シートに無い番号）"))</f>
        <v/>
      </c>
      <c r="D1238" s="36" t="n"/>
      <c r="E1238" s="38" t="n"/>
      <c r="F1238" s="39" t="n"/>
      <c r="G1238" s="36" t="n"/>
      <c r="H1238" s="40" t="n"/>
      <c r="I1238" s="40" t="n"/>
      <c r="J1238" s="41">
        <f>IF(ISNUMBER(H1238),H1238,IF(AND(D1238="労務費",TRIM(E1238)&lt;&gt;""),IFERROR(INDEX('設定'!$G$12:$G$31,MATCH(TRIM(E1238),'設定'!$J$12:$J$31,0)),""),""))</f>
        <v/>
      </c>
      <c r="K1238" s="30">
        <f>IF(AND(ISNUMBER(F1238),ISNUMBER(J1238)),ROUND(F1238*J1238,0),IF(ISNUMBER(I1238),I1238,""))</f>
        <v/>
      </c>
      <c r="L1238" s="33" t="n"/>
      <c r="M1238" s="34">
        <f>IF(COUNTA(A1238:B1238,D1238:I1238,L1238)=0,"",IF(B1238="","案件番号がありません",IF(ISNA(MATCH(B1238,'案件'!$A$6:$A$105,0)),"案件シートに無い番号です",IF(NOT(OR(D1238="材料費",D1238="労務費",D1238="外注費",D1238="経費")),"費目を4つから選んでください",IF(K1238="",IF(AND(ISNUMBER(F1238),NOT(ISNUMBER(J1238))),IF(D1238="労務費","単価がありません（設定の作業者名と同じ書き方に）","単価がありません"),IF(AND(ISNUMBER(J1238),NOT(ISNUMBER(F1238))),"数量がありません","金額がありません")),IF(NOT(ISNUMBER(A1238)),"日付がありません（月別集計に入りません）",IF(AND(ISNUMBER(F1238),ISNUMBER(J1238),ISNUMBER(I1238)),"数量×単価を使いました（金額の欄は使っていません）","")))))))</f>
        <v/>
      </c>
      <c r="N1238" s="91">
        <f>IF(AND(B1238&lt;&gt;"",B1238='案件カード'!$C$3),COUNTIF($B$5:B1238,'案件カード'!$C$3),"")</f>
        <v/>
      </c>
      <c r="O1238" s="91">
        <f>IF(ISNUMBER(K1238),IF(B1238="",K1238,IF(AND(ISNUMBER(MATCH(B1238,'案件'!$A$6:$A$105,0)),OR(D1238="材料費",D1238="労務費",D1238="外注費",D1238="経費")),0,K1238)),0)</f>
        <v/>
      </c>
    </row>
    <row r="1239" ht="16" customHeight="1">
      <c r="A1239" s="35" t="n"/>
      <c r="B1239" s="36" t="n"/>
      <c r="C1239" s="37">
        <f>IF(B1239="","",IFERROR(INDEX('案件'!$B$6:$B$105,MATCH(B1239,'案件'!$A$6:$A$105,0))&amp;"","（案件シートに無い番号）"))</f>
        <v/>
      </c>
      <c r="D1239" s="36" t="n"/>
      <c r="E1239" s="38" t="n"/>
      <c r="F1239" s="39" t="n"/>
      <c r="G1239" s="36" t="n"/>
      <c r="H1239" s="40" t="n"/>
      <c r="I1239" s="40" t="n"/>
      <c r="J1239" s="41">
        <f>IF(ISNUMBER(H1239),H1239,IF(AND(D1239="労務費",TRIM(E1239)&lt;&gt;""),IFERROR(INDEX('設定'!$G$12:$G$31,MATCH(TRIM(E1239),'設定'!$J$12:$J$31,0)),""),""))</f>
        <v/>
      </c>
      <c r="K1239" s="30">
        <f>IF(AND(ISNUMBER(F1239),ISNUMBER(J1239)),ROUND(F1239*J1239,0),IF(ISNUMBER(I1239),I1239,""))</f>
        <v/>
      </c>
      <c r="L1239" s="33" t="n"/>
      <c r="M1239" s="34">
        <f>IF(COUNTA(A1239:B1239,D1239:I1239,L1239)=0,"",IF(B1239="","案件番号がありません",IF(ISNA(MATCH(B1239,'案件'!$A$6:$A$105,0)),"案件シートに無い番号です",IF(NOT(OR(D1239="材料費",D1239="労務費",D1239="外注費",D1239="経費")),"費目を4つから選んでください",IF(K1239="",IF(AND(ISNUMBER(F1239),NOT(ISNUMBER(J1239))),IF(D1239="労務費","単価がありません（設定の作業者名と同じ書き方に）","単価がありません"),IF(AND(ISNUMBER(J1239),NOT(ISNUMBER(F1239))),"数量がありません","金額がありません")),IF(NOT(ISNUMBER(A1239)),"日付がありません（月別集計に入りません）",IF(AND(ISNUMBER(F1239),ISNUMBER(J1239),ISNUMBER(I1239)),"数量×単価を使いました（金額の欄は使っていません）","")))))))</f>
        <v/>
      </c>
      <c r="N1239" s="91">
        <f>IF(AND(B1239&lt;&gt;"",B1239='案件カード'!$C$3),COUNTIF($B$5:B1239,'案件カード'!$C$3),"")</f>
        <v/>
      </c>
      <c r="O1239" s="91">
        <f>IF(ISNUMBER(K1239),IF(B1239="",K1239,IF(AND(ISNUMBER(MATCH(B1239,'案件'!$A$6:$A$105,0)),OR(D1239="材料費",D1239="労務費",D1239="外注費",D1239="経費")),0,K1239)),0)</f>
        <v/>
      </c>
    </row>
    <row r="1240" ht="16" customHeight="1">
      <c r="A1240" s="35" t="n"/>
      <c r="B1240" s="36" t="n"/>
      <c r="C1240" s="37">
        <f>IF(B1240="","",IFERROR(INDEX('案件'!$B$6:$B$105,MATCH(B1240,'案件'!$A$6:$A$105,0))&amp;"","（案件シートに無い番号）"))</f>
        <v/>
      </c>
      <c r="D1240" s="36" t="n"/>
      <c r="E1240" s="38" t="n"/>
      <c r="F1240" s="39" t="n"/>
      <c r="G1240" s="36" t="n"/>
      <c r="H1240" s="40" t="n"/>
      <c r="I1240" s="40" t="n"/>
      <c r="J1240" s="41">
        <f>IF(ISNUMBER(H1240),H1240,IF(AND(D1240="労務費",TRIM(E1240)&lt;&gt;""),IFERROR(INDEX('設定'!$G$12:$G$31,MATCH(TRIM(E1240),'設定'!$J$12:$J$31,0)),""),""))</f>
        <v/>
      </c>
      <c r="K1240" s="30">
        <f>IF(AND(ISNUMBER(F1240),ISNUMBER(J1240)),ROUND(F1240*J1240,0),IF(ISNUMBER(I1240),I1240,""))</f>
        <v/>
      </c>
      <c r="L1240" s="33" t="n"/>
      <c r="M1240" s="34">
        <f>IF(COUNTA(A1240:B1240,D1240:I1240,L1240)=0,"",IF(B1240="","案件番号がありません",IF(ISNA(MATCH(B1240,'案件'!$A$6:$A$105,0)),"案件シートに無い番号です",IF(NOT(OR(D1240="材料費",D1240="労務費",D1240="外注費",D1240="経費")),"費目を4つから選んでください",IF(K1240="",IF(AND(ISNUMBER(F1240),NOT(ISNUMBER(J1240))),IF(D1240="労務費","単価がありません（設定の作業者名と同じ書き方に）","単価がありません"),IF(AND(ISNUMBER(J1240),NOT(ISNUMBER(F1240))),"数量がありません","金額がありません")),IF(NOT(ISNUMBER(A1240)),"日付がありません（月別集計に入りません）",IF(AND(ISNUMBER(F1240),ISNUMBER(J1240),ISNUMBER(I1240)),"数量×単価を使いました（金額の欄は使っていません）","")))))))</f>
        <v/>
      </c>
      <c r="N1240" s="91">
        <f>IF(AND(B1240&lt;&gt;"",B1240='案件カード'!$C$3),COUNTIF($B$5:B1240,'案件カード'!$C$3),"")</f>
        <v/>
      </c>
      <c r="O1240" s="91">
        <f>IF(ISNUMBER(K1240),IF(B1240="",K1240,IF(AND(ISNUMBER(MATCH(B1240,'案件'!$A$6:$A$105,0)),OR(D1240="材料費",D1240="労務費",D1240="外注費",D1240="経費")),0,K1240)),0)</f>
        <v/>
      </c>
    </row>
    <row r="1241" ht="16" customHeight="1">
      <c r="A1241" s="35" t="n"/>
      <c r="B1241" s="36" t="n"/>
      <c r="C1241" s="37">
        <f>IF(B1241="","",IFERROR(INDEX('案件'!$B$6:$B$105,MATCH(B1241,'案件'!$A$6:$A$105,0))&amp;"","（案件シートに無い番号）"))</f>
        <v/>
      </c>
      <c r="D1241" s="36" t="n"/>
      <c r="E1241" s="38" t="n"/>
      <c r="F1241" s="39" t="n"/>
      <c r="G1241" s="36" t="n"/>
      <c r="H1241" s="40" t="n"/>
      <c r="I1241" s="40" t="n"/>
      <c r="J1241" s="41">
        <f>IF(ISNUMBER(H1241),H1241,IF(AND(D1241="労務費",TRIM(E1241)&lt;&gt;""),IFERROR(INDEX('設定'!$G$12:$G$31,MATCH(TRIM(E1241),'設定'!$J$12:$J$31,0)),""),""))</f>
        <v/>
      </c>
      <c r="K1241" s="30">
        <f>IF(AND(ISNUMBER(F1241),ISNUMBER(J1241)),ROUND(F1241*J1241,0),IF(ISNUMBER(I1241),I1241,""))</f>
        <v/>
      </c>
      <c r="L1241" s="33" t="n"/>
      <c r="M1241" s="34">
        <f>IF(COUNTA(A1241:B1241,D1241:I1241,L1241)=0,"",IF(B1241="","案件番号がありません",IF(ISNA(MATCH(B1241,'案件'!$A$6:$A$105,0)),"案件シートに無い番号です",IF(NOT(OR(D1241="材料費",D1241="労務費",D1241="外注費",D1241="経費")),"費目を4つから選んでください",IF(K1241="",IF(AND(ISNUMBER(F1241),NOT(ISNUMBER(J1241))),IF(D1241="労務費","単価がありません（設定の作業者名と同じ書き方に）","単価がありません"),IF(AND(ISNUMBER(J1241),NOT(ISNUMBER(F1241))),"数量がありません","金額がありません")),IF(NOT(ISNUMBER(A1241)),"日付がありません（月別集計に入りません）",IF(AND(ISNUMBER(F1241),ISNUMBER(J1241),ISNUMBER(I1241)),"数量×単価を使いました（金額の欄は使っていません）","")))))))</f>
        <v/>
      </c>
      <c r="N1241" s="91">
        <f>IF(AND(B1241&lt;&gt;"",B1241='案件カード'!$C$3),COUNTIF($B$5:B1241,'案件カード'!$C$3),"")</f>
        <v/>
      </c>
      <c r="O1241" s="91">
        <f>IF(ISNUMBER(K1241),IF(B1241="",K1241,IF(AND(ISNUMBER(MATCH(B1241,'案件'!$A$6:$A$105,0)),OR(D1241="材料費",D1241="労務費",D1241="外注費",D1241="経費")),0,K1241)),0)</f>
        <v/>
      </c>
    </row>
    <row r="1242" ht="16" customHeight="1">
      <c r="A1242" s="35" t="n"/>
      <c r="B1242" s="36" t="n"/>
      <c r="C1242" s="37">
        <f>IF(B1242="","",IFERROR(INDEX('案件'!$B$6:$B$105,MATCH(B1242,'案件'!$A$6:$A$105,0))&amp;"","（案件シートに無い番号）"))</f>
        <v/>
      </c>
      <c r="D1242" s="36" t="n"/>
      <c r="E1242" s="38" t="n"/>
      <c r="F1242" s="39" t="n"/>
      <c r="G1242" s="36" t="n"/>
      <c r="H1242" s="40" t="n"/>
      <c r="I1242" s="40" t="n"/>
      <c r="J1242" s="41">
        <f>IF(ISNUMBER(H1242),H1242,IF(AND(D1242="労務費",TRIM(E1242)&lt;&gt;""),IFERROR(INDEX('設定'!$G$12:$G$31,MATCH(TRIM(E1242),'設定'!$J$12:$J$31,0)),""),""))</f>
        <v/>
      </c>
      <c r="K1242" s="30">
        <f>IF(AND(ISNUMBER(F1242),ISNUMBER(J1242)),ROUND(F1242*J1242,0),IF(ISNUMBER(I1242),I1242,""))</f>
        <v/>
      </c>
      <c r="L1242" s="33" t="n"/>
      <c r="M1242" s="34">
        <f>IF(COUNTA(A1242:B1242,D1242:I1242,L1242)=0,"",IF(B1242="","案件番号がありません",IF(ISNA(MATCH(B1242,'案件'!$A$6:$A$105,0)),"案件シートに無い番号です",IF(NOT(OR(D1242="材料費",D1242="労務費",D1242="外注費",D1242="経費")),"費目を4つから選んでください",IF(K1242="",IF(AND(ISNUMBER(F1242),NOT(ISNUMBER(J1242))),IF(D1242="労務費","単価がありません（設定の作業者名と同じ書き方に）","単価がありません"),IF(AND(ISNUMBER(J1242),NOT(ISNUMBER(F1242))),"数量がありません","金額がありません")),IF(NOT(ISNUMBER(A1242)),"日付がありません（月別集計に入りません）",IF(AND(ISNUMBER(F1242),ISNUMBER(J1242),ISNUMBER(I1242)),"数量×単価を使いました（金額の欄は使っていません）","")))))))</f>
        <v/>
      </c>
      <c r="N1242" s="91">
        <f>IF(AND(B1242&lt;&gt;"",B1242='案件カード'!$C$3),COUNTIF($B$5:B1242,'案件カード'!$C$3),"")</f>
        <v/>
      </c>
      <c r="O1242" s="91">
        <f>IF(ISNUMBER(K1242),IF(B1242="",K1242,IF(AND(ISNUMBER(MATCH(B1242,'案件'!$A$6:$A$105,0)),OR(D1242="材料費",D1242="労務費",D1242="外注費",D1242="経費")),0,K1242)),0)</f>
        <v/>
      </c>
    </row>
    <row r="1243" ht="16" customHeight="1">
      <c r="A1243" s="35" t="n"/>
      <c r="B1243" s="36" t="n"/>
      <c r="C1243" s="37">
        <f>IF(B1243="","",IFERROR(INDEX('案件'!$B$6:$B$105,MATCH(B1243,'案件'!$A$6:$A$105,0))&amp;"","（案件シートに無い番号）"))</f>
        <v/>
      </c>
      <c r="D1243" s="36" t="n"/>
      <c r="E1243" s="38" t="n"/>
      <c r="F1243" s="39" t="n"/>
      <c r="G1243" s="36" t="n"/>
      <c r="H1243" s="40" t="n"/>
      <c r="I1243" s="40" t="n"/>
      <c r="J1243" s="41">
        <f>IF(ISNUMBER(H1243),H1243,IF(AND(D1243="労務費",TRIM(E1243)&lt;&gt;""),IFERROR(INDEX('設定'!$G$12:$G$31,MATCH(TRIM(E1243),'設定'!$J$12:$J$31,0)),""),""))</f>
        <v/>
      </c>
      <c r="K1243" s="30">
        <f>IF(AND(ISNUMBER(F1243),ISNUMBER(J1243)),ROUND(F1243*J1243,0),IF(ISNUMBER(I1243),I1243,""))</f>
        <v/>
      </c>
      <c r="L1243" s="33" t="n"/>
      <c r="M1243" s="34">
        <f>IF(COUNTA(A1243:B1243,D1243:I1243,L1243)=0,"",IF(B1243="","案件番号がありません",IF(ISNA(MATCH(B1243,'案件'!$A$6:$A$105,0)),"案件シートに無い番号です",IF(NOT(OR(D1243="材料費",D1243="労務費",D1243="外注費",D1243="経費")),"費目を4つから選んでください",IF(K1243="",IF(AND(ISNUMBER(F1243),NOT(ISNUMBER(J1243))),IF(D1243="労務費","単価がありません（設定の作業者名と同じ書き方に）","単価がありません"),IF(AND(ISNUMBER(J1243),NOT(ISNUMBER(F1243))),"数量がありません","金額がありません")),IF(NOT(ISNUMBER(A1243)),"日付がありません（月別集計に入りません）",IF(AND(ISNUMBER(F1243),ISNUMBER(J1243),ISNUMBER(I1243)),"数量×単価を使いました（金額の欄は使っていません）","")))))))</f>
        <v/>
      </c>
      <c r="N1243" s="91">
        <f>IF(AND(B1243&lt;&gt;"",B1243='案件カード'!$C$3),COUNTIF($B$5:B1243,'案件カード'!$C$3),"")</f>
        <v/>
      </c>
      <c r="O1243" s="91">
        <f>IF(ISNUMBER(K1243),IF(B1243="",K1243,IF(AND(ISNUMBER(MATCH(B1243,'案件'!$A$6:$A$105,0)),OR(D1243="材料費",D1243="労務費",D1243="外注費",D1243="経費")),0,K1243)),0)</f>
        <v/>
      </c>
    </row>
    <row r="1244" ht="16" customHeight="1">
      <c r="A1244" s="35" t="n"/>
      <c r="B1244" s="36" t="n"/>
      <c r="C1244" s="37">
        <f>IF(B1244="","",IFERROR(INDEX('案件'!$B$6:$B$105,MATCH(B1244,'案件'!$A$6:$A$105,0))&amp;"","（案件シートに無い番号）"))</f>
        <v/>
      </c>
      <c r="D1244" s="36" t="n"/>
      <c r="E1244" s="38" t="n"/>
      <c r="F1244" s="39" t="n"/>
      <c r="G1244" s="36" t="n"/>
      <c r="H1244" s="40" t="n"/>
      <c r="I1244" s="40" t="n"/>
      <c r="J1244" s="41">
        <f>IF(ISNUMBER(H1244),H1244,IF(AND(D1244="労務費",TRIM(E1244)&lt;&gt;""),IFERROR(INDEX('設定'!$G$12:$G$31,MATCH(TRIM(E1244),'設定'!$J$12:$J$31,0)),""),""))</f>
        <v/>
      </c>
      <c r="K1244" s="30">
        <f>IF(AND(ISNUMBER(F1244),ISNUMBER(J1244)),ROUND(F1244*J1244,0),IF(ISNUMBER(I1244),I1244,""))</f>
        <v/>
      </c>
      <c r="L1244" s="33" t="n"/>
      <c r="M1244" s="34">
        <f>IF(COUNTA(A1244:B1244,D1244:I1244,L1244)=0,"",IF(B1244="","案件番号がありません",IF(ISNA(MATCH(B1244,'案件'!$A$6:$A$105,0)),"案件シートに無い番号です",IF(NOT(OR(D1244="材料費",D1244="労務費",D1244="外注費",D1244="経費")),"費目を4つから選んでください",IF(K1244="",IF(AND(ISNUMBER(F1244),NOT(ISNUMBER(J1244))),IF(D1244="労務費","単価がありません（設定の作業者名と同じ書き方に）","単価がありません"),IF(AND(ISNUMBER(J1244),NOT(ISNUMBER(F1244))),"数量がありません","金額がありません")),IF(NOT(ISNUMBER(A1244)),"日付がありません（月別集計に入りません）",IF(AND(ISNUMBER(F1244),ISNUMBER(J1244),ISNUMBER(I1244)),"数量×単価を使いました（金額の欄は使っていません）","")))))))</f>
        <v/>
      </c>
      <c r="N1244" s="91">
        <f>IF(AND(B1244&lt;&gt;"",B1244='案件カード'!$C$3),COUNTIF($B$5:B1244,'案件カード'!$C$3),"")</f>
        <v/>
      </c>
      <c r="O1244" s="91">
        <f>IF(ISNUMBER(K1244),IF(B1244="",K1244,IF(AND(ISNUMBER(MATCH(B1244,'案件'!$A$6:$A$105,0)),OR(D1244="材料費",D1244="労務費",D1244="外注費",D1244="経費")),0,K1244)),0)</f>
        <v/>
      </c>
    </row>
    <row r="1245" ht="16" customHeight="1">
      <c r="A1245" s="35" t="n"/>
      <c r="B1245" s="36" t="n"/>
      <c r="C1245" s="37">
        <f>IF(B1245="","",IFERROR(INDEX('案件'!$B$6:$B$105,MATCH(B1245,'案件'!$A$6:$A$105,0))&amp;"","（案件シートに無い番号）"))</f>
        <v/>
      </c>
      <c r="D1245" s="36" t="n"/>
      <c r="E1245" s="38" t="n"/>
      <c r="F1245" s="39" t="n"/>
      <c r="G1245" s="36" t="n"/>
      <c r="H1245" s="40" t="n"/>
      <c r="I1245" s="40" t="n"/>
      <c r="J1245" s="41">
        <f>IF(ISNUMBER(H1245),H1245,IF(AND(D1245="労務費",TRIM(E1245)&lt;&gt;""),IFERROR(INDEX('設定'!$G$12:$G$31,MATCH(TRIM(E1245),'設定'!$J$12:$J$31,0)),""),""))</f>
        <v/>
      </c>
      <c r="K1245" s="30">
        <f>IF(AND(ISNUMBER(F1245),ISNUMBER(J1245)),ROUND(F1245*J1245,0),IF(ISNUMBER(I1245),I1245,""))</f>
        <v/>
      </c>
      <c r="L1245" s="33" t="n"/>
      <c r="M1245" s="34">
        <f>IF(COUNTA(A1245:B1245,D1245:I1245,L1245)=0,"",IF(B1245="","案件番号がありません",IF(ISNA(MATCH(B1245,'案件'!$A$6:$A$105,0)),"案件シートに無い番号です",IF(NOT(OR(D1245="材料費",D1245="労務費",D1245="外注費",D1245="経費")),"費目を4つから選んでください",IF(K1245="",IF(AND(ISNUMBER(F1245),NOT(ISNUMBER(J1245))),IF(D1245="労務費","単価がありません（設定の作業者名と同じ書き方に）","単価がありません"),IF(AND(ISNUMBER(J1245),NOT(ISNUMBER(F1245))),"数量がありません","金額がありません")),IF(NOT(ISNUMBER(A1245)),"日付がありません（月別集計に入りません）",IF(AND(ISNUMBER(F1245),ISNUMBER(J1245),ISNUMBER(I1245)),"数量×単価を使いました（金額の欄は使っていません）","")))))))</f>
        <v/>
      </c>
      <c r="N1245" s="91">
        <f>IF(AND(B1245&lt;&gt;"",B1245='案件カード'!$C$3),COUNTIF($B$5:B1245,'案件カード'!$C$3),"")</f>
        <v/>
      </c>
      <c r="O1245" s="91">
        <f>IF(ISNUMBER(K1245),IF(B1245="",K1245,IF(AND(ISNUMBER(MATCH(B1245,'案件'!$A$6:$A$105,0)),OR(D1245="材料費",D1245="労務費",D1245="外注費",D1245="経費")),0,K1245)),0)</f>
        <v/>
      </c>
    </row>
    <row r="1246" ht="16" customHeight="1">
      <c r="A1246" s="35" t="n"/>
      <c r="B1246" s="36" t="n"/>
      <c r="C1246" s="37">
        <f>IF(B1246="","",IFERROR(INDEX('案件'!$B$6:$B$105,MATCH(B1246,'案件'!$A$6:$A$105,0))&amp;"","（案件シートに無い番号）"))</f>
        <v/>
      </c>
      <c r="D1246" s="36" t="n"/>
      <c r="E1246" s="38" t="n"/>
      <c r="F1246" s="39" t="n"/>
      <c r="G1246" s="36" t="n"/>
      <c r="H1246" s="40" t="n"/>
      <c r="I1246" s="40" t="n"/>
      <c r="J1246" s="41">
        <f>IF(ISNUMBER(H1246),H1246,IF(AND(D1246="労務費",TRIM(E1246)&lt;&gt;""),IFERROR(INDEX('設定'!$G$12:$G$31,MATCH(TRIM(E1246),'設定'!$J$12:$J$31,0)),""),""))</f>
        <v/>
      </c>
      <c r="K1246" s="30">
        <f>IF(AND(ISNUMBER(F1246),ISNUMBER(J1246)),ROUND(F1246*J1246,0),IF(ISNUMBER(I1246),I1246,""))</f>
        <v/>
      </c>
      <c r="L1246" s="33" t="n"/>
      <c r="M1246" s="34">
        <f>IF(COUNTA(A1246:B1246,D1246:I1246,L1246)=0,"",IF(B1246="","案件番号がありません",IF(ISNA(MATCH(B1246,'案件'!$A$6:$A$105,0)),"案件シートに無い番号です",IF(NOT(OR(D1246="材料費",D1246="労務費",D1246="外注費",D1246="経費")),"費目を4つから選んでください",IF(K1246="",IF(AND(ISNUMBER(F1246),NOT(ISNUMBER(J1246))),IF(D1246="労務費","単価がありません（設定の作業者名と同じ書き方に）","単価がありません"),IF(AND(ISNUMBER(J1246),NOT(ISNUMBER(F1246))),"数量がありません","金額がありません")),IF(NOT(ISNUMBER(A1246)),"日付がありません（月別集計に入りません）",IF(AND(ISNUMBER(F1246),ISNUMBER(J1246),ISNUMBER(I1246)),"数量×単価を使いました（金額の欄は使っていません）","")))))))</f>
        <v/>
      </c>
      <c r="N1246" s="91">
        <f>IF(AND(B1246&lt;&gt;"",B1246='案件カード'!$C$3),COUNTIF($B$5:B1246,'案件カード'!$C$3),"")</f>
        <v/>
      </c>
      <c r="O1246" s="91">
        <f>IF(ISNUMBER(K1246),IF(B1246="",K1246,IF(AND(ISNUMBER(MATCH(B1246,'案件'!$A$6:$A$105,0)),OR(D1246="材料費",D1246="労務費",D1246="外注費",D1246="経費")),0,K1246)),0)</f>
        <v/>
      </c>
    </row>
    <row r="1247" ht="16" customHeight="1">
      <c r="A1247" s="35" t="n"/>
      <c r="B1247" s="36" t="n"/>
      <c r="C1247" s="37">
        <f>IF(B1247="","",IFERROR(INDEX('案件'!$B$6:$B$105,MATCH(B1247,'案件'!$A$6:$A$105,0))&amp;"","（案件シートに無い番号）"))</f>
        <v/>
      </c>
      <c r="D1247" s="36" t="n"/>
      <c r="E1247" s="38" t="n"/>
      <c r="F1247" s="39" t="n"/>
      <c r="G1247" s="36" t="n"/>
      <c r="H1247" s="40" t="n"/>
      <c r="I1247" s="40" t="n"/>
      <c r="J1247" s="41">
        <f>IF(ISNUMBER(H1247),H1247,IF(AND(D1247="労務費",TRIM(E1247)&lt;&gt;""),IFERROR(INDEX('設定'!$G$12:$G$31,MATCH(TRIM(E1247),'設定'!$J$12:$J$31,0)),""),""))</f>
        <v/>
      </c>
      <c r="K1247" s="30">
        <f>IF(AND(ISNUMBER(F1247),ISNUMBER(J1247)),ROUND(F1247*J1247,0),IF(ISNUMBER(I1247),I1247,""))</f>
        <v/>
      </c>
      <c r="L1247" s="33" t="n"/>
      <c r="M1247" s="34">
        <f>IF(COUNTA(A1247:B1247,D1247:I1247,L1247)=0,"",IF(B1247="","案件番号がありません",IF(ISNA(MATCH(B1247,'案件'!$A$6:$A$105,0)),"案件シートに無い番号です",IF(NOT(OR(D1247="材料費",D1247="労務費",D1247="外注費",D1247="経費")),"費目を4つから選んでください",IF(K1247="",IF(AND(ISNUMBER(F1247),NOT(ISNUMBER(J1247))),IF(D1247="労務費","単価がありません（設定の作業者名と同じ書き方に）","単価がありません"),IF(AND(ISNUMBER(J1247),NOT(ISNUMBER(F1247))),"数量がありません","金額がありません")),IF(NOT(ISNUMBER(A1247)),"日付がありません（月別集計に入りません）",IF(AND(ISNUMBER(F1247),ISNUMBER(J1247),ISNUMBER(I1247)),"数量×単価を使いました（金額の欄は使っていません）","")))))))</f>
        <v/>
      </c>
      <c r="N1247" s="91">
        <f>IF(AND(B1247&lt;&gt;"",B1247='案件カード'!$C$3),COUNTIF($B$5:B1247,'案件カード'!$C$3),"")</f>
        <v/>
      </c>
      <c r="O1247" s="91">
        <f>IF(ISNUMBER(K1247),IF(B1247="",K1247,IF(AND(ISNUMBER(MATCH(B1247,'案件'!$A$6:$A$105,0)),OR(D1247="材料費",D1247="労務費",D1247="外注費",D1247="経費")),0,K1247)),0)</f>
        <v/>
      </c>
    </row>
    <row r="1248" ht="16" customHeight="1">
      <c r="A1248" s="35" t="n"/>
      <c r="B1248" s="36" t="n"/>
      <c r="C1248" s="37">
        <f>IF(B1248="","",IFERROR(INDEX('案件'!$B$6:$B$105,MATCH(B1248,'案件'!$A$6:$A$105,0))&amp;"","（案件シートに無い番号）"))</f>
        <v/>
      </c>
      <c r="D1248" s="36" t="n"/>
      <c r="E1248" s="38" t="n"/>
      <c r="F1248" s="39" t="n"/>
      <c r="G1248" s="36" t="n"/>
      <c r="H1248" s="40" t="n"/>
      <c r="I1248" s="40" t="n"/>
      <c r="J1248" s="41">
        <f>IF(ISNUMBER(H1248),H1248,IF(AND(D1248="労務費",TRIM(E1248)&lt;&gt;""),IFERROR(INDEX('設定'!$G$12:$G$31,MATCH(TRIM(E1248),'設定'!$J$12:$J$31,0)),""),""))</f>
        <v/>
      </c>
      <c r="K1248" s="30">
        <f>IF(AND(ISNUMBER(F1248),ISNUMBER(J1248)),ROUND(F1248*J1248,0),IF(ISNUMBER(I1248),I1248,""))</f>
        <v/>
      </c>
      <c r="L1248" s="33" t="n"/>
      <c r="M1248" s="34">
        <f>IF(COUNTA(A1248:B1248,D1248:I1248,L1248)=0,"",IF(B1248="","案件番号がありません",IF(ISNA(MATCH(B1248,'案件'!$A$6:$A$105,0)),"案件シートに無い番号です",IF(NOT(OR(D1248="材料費",D1248="労務費",D1248="外注費",D1248="経費")),"費目を4つから選んでください",IF(K1248="",IF(AND(ISNUMBER(F1248),NOT(ISNUMBER(J1248))),IF(D1248="労務費","単価がありません（設定の作業者名と同じ書き方に）","単価がありません"),IF(AND(ISNUMBER(J1248),NOT(ISNUMBER(F1248))),"数量がありません","金額がありません")),IF(NOT(ISNUMBER(A1248)),"日付がありません（月別集計に入りません）",IF(AND(ISNUMBER(F1248),ISNUMBER(J1248),ISNUMBER(I1248)),"数量×単価を使いました（金額の欄は使っていません）","")))))))</f>
        <v/>
      </c>
      <c r="N1248" s="91">
        <f>IF(AND(B1248&lt;&gt;"",B1248='案件カード'!$C$3),COUNTIF($B$5:B1248,'案件カード'!$C$3),"")</f>
        <v/>
      </c>
      <c r="O1248" s="91">
        <f>IF(ISNUMBER(K1248),IF(B1248="",K1248,IF(AND(ISNUMBER(MATCH(B1248,'案件'!$A$6:$A$105,0)),OR(D1248="材料費",D1248="労務費",D1248="外注費",D1248="経費")),0,K1248)),0)</f>
        <v/>
      </c>
    </row>
    <row r="1249" ht="16" customHeight="1">
      <c r="A1249" s="35" t="n"/>
      <c r="B1249" s="36" t="n"/>
      <c r="C1249" s="37">
        <f>IF(B1249="","",IFERROR(INDEX('案件'!$B$6:$B$105,MATCH(B1249,'案件'!$A$6:$A$105,0))&amp;"","（案件シートに無い番号）"))</f>
        <v/>
      </c>
      <c r="D1249" s="36" t="n"/>
      <c r="E1249" s="38" t="n"/>
      <c r="F1249" s="39" t="n"/>
      <c r="G1249" s="36" t="n"/>
      <c r="H1249" s="40" t="n"/>
      <c r="I1249" s="40" t="n"/>
      <c r="J1249" s="41">
        <f>IF(ISNUMBER(H1249),H1249,IF(AND(D1249="労務費",TRIM(E1249)&lt;&gt;""),IFERROR(INDEX('設定'!$G$12:$G$31,MATCH(TRIM(E1249),'設定'!$J$12:$J$31,0)),""),""))</f>
        <v/>
      </c>
      <c r="K1249" s="30">
        <f>IF(AND(ISNUMBER(F1249),ISNUMBER(J1249)),ROUND(F1249*J1249,0),IF(ISNUMBER(I1249),I1249,""))</f>
        <v/>
      </c>
      <c r="L1249" s="33" t="n"/>
      <c r="M1249" s="34">
        <f>IF(COUNTA(A1249:B1249,D1249:I1249,L1249)=0,"",IF(B1249="","案件番号がありません",IF(ISNA(MATCH(B1249,'案件'!$A$6:$A$105,0)),"案件シートに無い番号です",IF(NOT(OR(D1249="材料費",D1249="労務費",D1249="外注費",D1249="経費")),"費目を4つから選んでください",IF(K1249="",IF(AND(ISNUMBER(F1249),NOT(ISNUMBER(J1249))),IF(D1249="労務費","単価がありません（設定の作業者名と同じ書き方に）","単価がありません"),IF(AND(ISNUMBER(J1249),NOT(ISNUMBER(F1249))),"数量がありません","金額がありません")),IF(NOT(ISNUMBER(A1249)),"日付がありません（月別集計に入りません）",IF(AND(ISNUMBER(F1249),ISNUMBER(J1249),ISNUMBER(I1249)),"数量×単価を使いました（金額の欄は使っていません）","")))))))</f>
        <v/>
      </c>
      <c r="N1249" s="91">
        <f>IF(AND(B1249&lt;&gt;"",B1249='案件カード'!$C$3),COUNTIF($B$5:B1249,'案件カード'!$C$3),"")</f>
        <v/>
      </c>
      <c r="O1249" s="91">
        <f>IF(ISNUMBER(K1249),IF(B1249="",K1249,IF(AND(ISNUMBER(MATCH(B1249,'案件'!$A$6:$A$105,0)),OR(D1249="材料費",D1249="労務費",D1249="外注費",D1249="経費")),0,K1249)),0)</f>
        <v/>
      </c>
    </row>
    <row r="1250" ht="16" customHeight="1">
      <c r="A1250" s="35" t="n"/>
      <c r="B1250" s="36" t="n"/>
      <c r="C1250" s="37">
        <f>IF(B1250="","",IFERROR(INDEX('案件'!$B$6:$B$105,MATCH(B1250,'案件'!$A$6:$A$105,0))&amp;"","（案件シートに無い番号）"))</f>
        <v/>
      </c>
      <c r="D1250" s="36" t="n"/>
      <c r="E1250" s="38" t="n"/>
      <c r="F1250" s="39" t="n"/>
      <c r="G1250" s="36" t="n"/>
      <c r="H1250" s="40" t="n"/>
      <c r="I1250" s="40" t="n"/>
      <c r="J1250" s="41">
        <f>IF(ISNUMBER(H1250),H1250,IF(AND(D1250="労務費",TRIM(E1250)&lt;&gt;""),IFERROR(INDEX('設定'!$G$12:$G$31,MATCH(TRIM(E1250),'設定'!$J$12:$J$31,0)),""),""))</f>
        <v/>
      </c>
      <c r="K1250" s="30">
        <f>IF(AND(ISNUMBER(F1250),ISNUMBER(J1250)),ROUND(F1250*J1250,0),IF(ISNUMBER(I1250),I1250,""))</f>
        <v/>
      </c>
      <c r="L1250" s="33" t="n"/>
      <c r="M1250" s="34">
        <f>IF(COUNTA(A1250:B1250,D1250:I1250,L1250)=0,"",IF(B1250="","案件番号がありません",IF(ISNA(MATCH(B1250,'案件'!$A$6:$A$105,0)),"案件シートに無い番号です",IF(NOT(OR(D1250="材料費",D1250="労務費",D1250="外注費",D1250="経費")),"費目を4つから選んでください",IF(K1250="",IF(AND(ISNUMBER(F1250),NOT(ISNUMBER(J1250))),IF(D1250="労務費","単価がありません（設定の作業者名と同じ書き方に）","単価がありません"),IF(AND(ISNUMBER(J1250),NOT(ISNUMBER(F1250))),"数量がありません","金額がありません")),IF(NOT(ISNUMBER(A1250)),"日付がありません（月別集計に入りません）",IF(AND(ISNUMBER(F1250),ISNUMBER(J1250),ISNUMBER(I1250)),"数量×単価を使いました（金額の欄は使っていません）","")))))))</f>
        <v/>
      </c>
      <c r="N1250" s="91">
        <f>IF(AND(B1250&lt;&gt;"",B1250='案件カード'!$C$3),COUNTIF($B$5:B1250,'案件カード'!$C$3),"")</f>
        <v/>
      </c>
      <c r="O1250" s="91">
        <f>IF(ISNUMBER(K1250),IF(B1250="",K1250,IF(AND(ISNUMBER(MATCH(B1250,'案件'!$A$6:$A$105,0)),OR(D1250="材料費",D1250="労務費",D1250="外注費",D1250="経費")),0,K1250)),0)</f>
        <v/>
      </c>
    </row>
    <row r="1251" ht="16" customHeight="1">
      <c r="A1251" s="35" t="n"/>
      <c r="B1251" s="36" t="n"/>
      <c r="C1251" s="37">
        <f>IF(B1251="","",IFERROR(INDEX('案件'!$B$6:$B$105,MATCH(B1251,'案件'!$A$6:$A$105,0))&amp;"","（案件シートに無い番号）"))</f>
        <v/>
      </c>
      <c r="D1251" s="36" t="n"/>
      <c r="E1251" s="38" t="n"/>
      <c r="F1251" s="39" t="n"/>
      <c r="G1251" s="36" t="n"/>
      <c r="H1251" s="40" t="n"/>
      <c r="I1251" s="40" t="n"/>
      <c r="J1251" s="41">
        <f>IF(ISNUMBER(H1251),H1251,IF(AND(D1251="労務費",TRIM(E1251)&lt;&gt;""),IFERROR(INDEX('設定'!$G$12:$G$31,MATCH(TRIM(E1251),'設定'!$J$12:$J$31,0)),""),""))</f>
        <v/>
      </c>
      <c r="K1251" s="30">
        <f>IF(AND(ISNUMBER(F1251),ISNUMBER(J1251)),ROUND(F1251*J1251,0),IF(ISNUMBER(I1251),I1251,""))</f>
        <v/>
      </c>
      <c r="L1251" s="33" t="n"/>
      <c r="M1251" s="34">
        <f>IF(COUNTA(A1251:B1251,D1251:I1251,L1251)=0,"",IF(B1251="","案件番号がありません",IF(ISNA(MATCH(B1251,'案件'!$A$6:$A$105,0)),"案件シートに無い番号です",IF(NOT(OR(D1251="材料費",D1251="労務費",D1251="外注費",D1251="経費")),"費目を4つから選んでください",IF(K1251="",IF(AND(ISNUMBER(F1251),NOT(ISNUMBER(J1251))),IF(D1251="労務費","単価がありません（設定の作業者名と同じ書き方に）","単価がありません"),IF(AND(ISNUMBER(J1251),NOT(ISNUMBER(F1251))),"数量がありません","金額がありません")),IF(NOT(ISNUMBER(A1251)),"日付がありません（月別集計に入りません）",IF(AND(ISNUMBER(F1251),ISNUMBER(J1251),ISNUMBER(I1251)),"数量×単価を使いました（金額の欄は使っていません）","")))))))</f>
        <v/>
      </c>
      <c r="N1251" s="91">
        <f>IF(AND(B1251&lt;&gt;"",B1251='案件カード'!$C$3),COUNTIF($B$5:B1251,'案件カード'!$C$3),"")</f>
        <v/>
      </c>
      <c r="O1251" s="91">
        <f>IF(ISNUMBER(K1251),IF(B1251="",K1251,IF(AND(ISNUMBER(MATCH(B1251,'案件'!$A$6:$A$105,0)),OR(D1251="材料費",D1251="労務費",D1251="外注費",D1251="経費")),0,K1251)),0)</f>
        <v/>
      </c>
    </row>
    <row r="1252" ht="16" customHeight="1">
      <c r="A1252" s="35" t="n"/>
      <c r="B1252" s="36" t="n"/>
      <c r="C1252" s="37">
        <f>IF(B1252="","",IFERROR(INDEX('案件'!$B$6:$B$105,MATCH(B1252,'案件'!$A$6:$A$105,0))&amp;"","（案件シートに無い番号）"))</f>
        <v/>
      </c>
      <c r="D1252" s="36" t="n"/>
      <c r="E1252" s="38" t="n"/>
      <c r="F1252" s="39" t="n"/>
      <c r="G1252" s="36" t="n"/>
      <c r="H1252" s="40" t="n"/>
      <c r="I1252" s="40" t="n"/>
      <c r="J1252" s="41">
        <f>IF(ISNUMBER(H1252),H1252,IF(AND(D1252="労務費",TRIM(E1252)&lt;&gt;""),IFERROR(INDEX('設定'!$G$12:$G$31,MATCH(TRIM(E1252),'設定'!$J$12:$J$31,0)),""),""))</f>
        <v/>
      </c>
      <c r="K1252" s="30">
        <f>IF(AND(ISNUMBER(F1252),ISNUMBER(J1252)),ROUND(F1252*J1252,0),IF(ISNUMBER(I1252),I1252,""))</f>
        <v/>
      </c>
      <c r="L1252" s="33" t="n"/>
      <c r="M1252" s="34">
        <f>IF(COUNTA(A1252:B1252,D1252:I1252,L1252)=0,"",IF(B1252="","案件番号がありません",IF(ISNA(MATCH(B1252,'案件'!$A$6:$A$105,0)),"案件シートに無い番号です",IF(NOT(OR(D1252="材料費",D1252="労務費",D1252="外注費",D1252="経費")),"費目を4つから選んでください",IF(K1252="",IF(AND(ISNUMBER(F1252),NOT(ISNUMBER(J1252))),IF(D1252="労務費","単価がありません（設定の作業者名と同じ書き方に）","単価がありません"),IF(AND(ISNUMBER(J1252),NOT(ISNUMBER(F1252))),"数量がありません","金額がありません")),IF(NOT(ISNUMBER(A1252)),"日付がありません（月別集計に入りません）",IF(AND(ISNUMBER(F1252),ISNUMBER(J1252),ISNUMBER(I1252)),"数量×単価を使いました（金額の欄は使っていません）","")))))))</f>
        <v/>
      </c>
      <c r="N1252" s="91">
        <f>IF(AND(B1252&lt;&gt;"",B1252='案件カード'!$C$3),COUNTIF($B$5:B1252,'案件カード'!$C$3),"")</f>
        <v/>
      </c>
      <c r="O1252" s="91">
        <f>IF(ISNUMBER(K1252),IF(B1252="",K1252,IF(AND(ISNUMBER(MATCH(B1252,'案件'!$A$6:$A$105,0)),OR(D1252="材料費",D1252="労務費",D1252="外注費",D1252="経費")),0,K1252)),0)</f>
        <v/>
      </c>
    </row>
    <row r="1253" ht="16" customHeight="1">
      <c r="A1253" s="35" t="n"/>
      <c r="B1253" s="36" t="n"/>
      <c r="C1253" s="37">
        <f>IF(B1253="","",IFERROR(INDEX('案件'!$B$6:$B$105,MATCH(B1253,'案件'!$A$6:$A$105,0))&amp;"","（案件シートに無い番号）"))</f>
        <v/>
      </c>
      <c r="D1253" s="36" t="n"/>
      <c r="E1253" s="38" t="n"/>
      <c r="F1253" s="39" t="n"/>
      <c r="G1253" s="36" t="n"/>
      <c r="H1253" s="40" t="n"/>
      <c r="I1253" s="40" t="n"/>
      <c r="J1253" s="41">
        <f>IF(ISNUMBER(H1253),H1253,IF(AND(D1253="労務費",TRIM(E1253)&lt;&gt;""),IFERROR(INDEX('設定'!$G$12:$G$31,MATCH(TRIM(E1253),'設定'!$J$12:$J$31,0)),""),""))</f>
        <v/>
      </c>
      <c r="K1253" s="30">
        <f>IF(AND(ISNUMBER(F1253),ISNUMBER(J1253)),ROUND(F1253*J1253,0),IF(ISNUMBER(I1253),I1253,""))</f>
        <v/>
      </c>
      <c r="L1253" s="33" t="n"/>
      <c r="M1253" s="34">
        <f>IF(COUNTA(A1253:B1253,D1253:I1253,L1253)=0,"",IF(B1253="","案件番号がありません",IF(ISNA(MATCH(B1253,'案件'!$A$6:$A$105,0)),"案件シートに無い番号です",IF(NOT(OR(D1253="材料費",D1253="労務費",D1253="外注費",D1253="経費")),"費目を4つから選んでください",IF(K1253="",IF(AND(ISNUMBER(F1253),NOT(ISNUMBER(J1253))),IF(D1253="労務費","単価がありません（設定の作業者名と同じ書き方に）","単価がありません"),IF(AND(ISNUMBER(J1253),NOT(ISNUMBER(F1253))),"数量がありません","金額がありません")),IF(NOT(ISNUMBER(A1253)),"日付がありません（月別集計に入りません）",IF(AND(ISNUMBER(F1253),ISNUMBER(J1253),ISNUMBER(I1253)),"数量×単価を使いました（金額の欄は使っていません）","")))))))</f>
        <v/>
      </c>
      <c r="N1253" s="91">
        <f>IF(AND(B1253&lt;&gt;"",B1253='案件カード'!$C$3),COUNTIF($B$5:B1253,'案件カード'!$C$3),"")</f>
        <v/>
      </c>
      <c r="O1253" s="91">
        <f>IF(ISNUMBER(K1253),IF(B1253="",K1253,IF(AND(ISNUMBER(MATCH(B1253,'案件'!$A$6:$A$105,0)),OR(D1253="材料費",D1253="労務費",D1253="外注費",D1253="経費")),0,K1253)),0)</f>
        <v/>
      </c>
    </row>
    <row r="1254" ht="16" customHeight="1">
      <c r="A1254" s="35" t="n"/>
      <c r="B1254" s="36" t="n"/>
      <c r="C1254" s="37">
        <f>IF(B1254="","",IFERROR(INDEX('案件'!$B$6:$B$105,MATCH(B1254,'案件'!$A$6:$A$105,0))&amp;"","（案件シートに無い番号）"))</f>
        <v/>
      </c>
      <c r="D1254" s="36" t="n"/>
      <c r="E1254" s="38" t="n"/>
      <c r="F1254" s="39" t="n"/>
      <c r="G1254" s="36" t="n"/>
      <c r="H1254" s="40" t="n"/>
      <c r="I1254" s="40" t="n"/>
      <c r="J1254" s="41">
        <f>IF(ISNUMBER(H1254),H1254,IF(AND(D1254="労務費",TRIM(E1254)&lt;&gt;""),IFERROR(INDEX('設定'!$G$12:$G$31,MATCH(TRIM(E1254),'設定'!$J$12:$J$31,0)),""),""))</f>
        <v/>
      </c>
      <c r="K1254" s="30">
        <f>IF(AND(ISNUMBER(F1254),ISNUMBER(J1254)),ROUND(F1254*J1254,0),IF(ISNUMBER(I1254),I1254,""))</f>
        <v/>
      </c>
      <c r="L1254" s="33" t="n"/>
      <c r="M1254" s="34">
        <f>IF(COUNTA(A1254:B1254,D1254:I1254,L1254)=0,"",IF(B1254="","案件番号がありません",IF(ISNA(MATCH(B1254,'案件'!$A$6:$A$105,0)),"案件シートに無い番号です",IF(NOT(OR(D1254="材料費",D1254="労務費",D1254="外注費",D1254="経費")),"費目を4つから選んでください",IF(K1254="",IF(AND(ISNUMBER(F1254),NOT(ISNUMBER(J1254))),IF(D1254="労務費","単価がありません（設定の作業者名と同じ書き方に）","単価がありません"),IF(AND(ISNUMBER(J1254),NOT(ISNUMBER(F1254))),"数量がありません","金額がありません")),IF(NOT(ISNUMBER(A1254)),"日付がありません（月別集計に入りません）",IF(AND(ISNUMBER(F1254),ISNUMBER(J1254),ISNUMBER(I1254)),"数量×単価を使いました（金額の欄は使っていません）","")))))))</f>
        <v/>
      </c>
      <c r="N1254" s="91">
        <f>IF(AND(B1254&lt;&gt;"",B1254='案件カード'!$C$3),COUNTIF($B$5:B1254,'案件カード'!$C$3),"")</f>
        <v/>
      </c>
      <c r="O1254" s="91">
        <f>IF(ISNUMBER(K1254),IF(B1254="",K1254,IF(AND(ISNUMBER(MATCH(B1254,'案件'!$A$6:$A$105,0)),OR(D1254="材料費",D1254="労務費",D1254="外注費",D1254="経費")),0,K1254)),0)</f>
        <v/>
      </c>
    </row>
    <row r="1255" ht="16" customHeight="1">
      <c r="A1255" s="35" t="n"/>
      <c r="B1255" s="36" t="n"/>
      <c r="C1255" s="37">
        <f>IF(B1255="","",IFERROR(INDEX('案件'!$B$6:$B$105,MATCH(B1255,'案件'!$A$6:$A$105,0))&amp;"","（案件シートに無い番号）"))</f>
        <v/>
      </c>
      <c r="D1255" s="36" t="n"/>
      <c r="E1255" s="38" t="n"/>
      <c r="F1255" s="39" t="n"/>
      <c r="G1255" s="36" t="n"/>
      <c r="H1255" s="40" t="n"/>
      <c r="I1255" s="40" t="n"/>
      <c r="J1255" s="41">
        <f>IF(ISNUMBER(H1255),H1255,IF(AND(D1255="労務費",TRIM(E1255)&lt;&gt;""),IFERROR(INDEX('設定'!$G$12:$G$31,MATCH(TRIM(E1255),'設定'!$J$12:$J$31,0)),""),""))</f>
        <v/>
      </c>
      <c r="K1255" s="30">
        <f>IF(AND(ISNUMBER(F1255),ISNUMBER(J1255)),ROUND(F1255*J1255,0),IF(ISNUMBER(I1255),I1255,""))</f>
        <v/>
      </c>
      <c r="L1255" s="33" t="n"/>
      <c r="M1255" s="34">
        <f>IF(COUNTA(A1255:B1255,D1255:I1255,L1255)=0,"",IF(B1255="","案件番号がありません",IF(ISNA(MATCH(B1255,'案件'!$A$6:$A$105,0)),"案件シートに無い番号です",IF(NOT(OR(D1255="材料費",D1255="労務費",D1255="外注費",D1255="経費")),"費目を4つから選んでください",IF(K1255="",IF(AND(ISNUMBER(F1255),NOT(ISNUMBER(J1255))),IF(D1255="労務費","単価がありません（設定の作業者名と同じ書き方に）","単価がありません"),IF(AND(ISNUMBER(J1255),NOT(ISNUMBER(F1255))),"数量がありません","金額がありません")),IF(NOT(ISNUMBER(A1255)),"日付がありません（月別集計に入りません）",IF(AND(ISNUMBER(F1255),ISNUMBER(J1255),ISNUMBER(I1255)),"数量×単価を使いました（金額の欄は使っていません）","")))))))</f>
        <v/>
      </c>
      <c r="N1255" s="91">
        <f>IF(AND(B1255&lt;&gt;"",B1255='案件カード'!$C$3),COUNTIF($B$5:B1255,'案件カード'!$C$3),"")</f>
        <v/>
      </c>
      <c r="O1255" s="91">
        <f>IF(ISNUMBER(K1255),IF(B1255="",K1255,IF(AND(ISNUMBER(MATCH(B1255,'案件'!$A$6:$A$105,0)),OR(D1255="材料費",D1255="労務費",D1255="外注費",D1255="経費")),0,K1255)),0)</f>
        <v/>
      </c>
    </row>
    <row r="1256" ht="16" customHeight="1">
      <c r="A1256" s="35" t="n"/>
      <c r="B1256" s="36" t="n"/>
      <c r="C1256" s="37">
        <f>IF(B1256="","",IFERROR(INDEX('案件'!$B$6:$B$105,MATCH(B1256,'案件'!$A$6:$A$105,0))&amp;"","（案件シートに無い番号）"))</f>
        <v/>
      </c>
      <c r="D1256" s="36" t="n"/>
      <c r="E1256" s="38" t="n"/>
      <c r="F1256" s="39" t="n"/>
      <c r="G1256" s="36" t="n"/>
      <c r="H1256" s="40" t="n"/>
      <c r="I1256" s="40" t="n"/>
      <c r="J1256" s="41">
        <f>IF(ISNUMBER(H1256),H1256,IF(AND(D1256="労務費",TRIM(E1256)&lt;&gt;""),IFERROR(INDEX('設定'!$G$12:$G$31,MATCH(TRIM(E1256),'設定'!$J$12:$J$31,0)),""),""))</f>
        <v/>
      </c>
      <c r="K1256" s="30">
        <f>IF(AND(ISNUMBER(F1256),ISNUMBER(J1256)),ROUND(F1256*J1256,0),IF(ISNUMBER(I1256),I1256,""))</f>
        <v/>
      </c>
      <c r="L1256" s="33" t="n"/>
      <c r="M1256" s="34">
        <f>IF(COUNTA(A1256:B1256,D1256:I1256,L1256)=0,"",IF(B1256="","案件番号がありません",IF(ISNA(MATCH(B1256,'案件'!$A$6:$A$105,0)),"案件シートに無い番号です",IF(NOT(OR(D1256="材料費",D1256="労務費",D1256="外注費",D1256="経費")),"費目を4つから選んでください",IF(K1256="",IF(AND(ISNUMBER(F1256),NOT(ISNUMBER(J1256))),IF(D1256="労務費","単価がありません（設定の作業者名と同じ書き方に）","単価がありません"),IF(AND(ISNUMBER(J1256),NOT(ISNUMBER(F1256))),"数量がありません","金額がありません")),IF(NOT(ISNUMBER(A1256)),"日付がありません（月別集計に入りません）",IF(AND(ISNUMBER(F1256),ISNUMBER(J1256),ISNUMBER(I1256)),"数量×単価を使いました（金額の欄は使っていません）","")))))))</f>
        <v/>
      </c>
      <c r="N1256" s="91">
        <f>IF(AND(B1256&lt;&gt;"",B1256='案件カード'!$C$3),COUNTIF($B$5:B1256,'案件カード'!$C$3),"")</f>
        <v/>
      </c>
      <c r="O1256" s="91">
        <f>IF(ISNUMBER(K1256),IF(B1256="",K1256,IF(AND(ISNUMBER(MATCH(B1256,'案件'!$A$6:$A$105,0)),OR(D1256="材料費",D1256="労務費",D1256="外注費",D1256="経費")),0,K1256)),0)</f>
        <v/>
      </c>
    </row>
    <row r="1257" ht="16" customHeight="1">
      <c r="A1257" s="35" t="n"/>
      <c r="B1257" s="36" t="n"/>
      <c r="C1257" s="37">
        <f>IF(B1257="","",IFERROR(INDEX('案件'!$B$6:$B$105,MATCH(B1257,'案件'!$A$6:$A$105,0))&amp;"","（案件シートに無い番号）"))</f>
        <v/>
      </c>
      <c r="D1257" s="36" t="n"/>
      <c r="E1257" s="38" t="n"/>
      <c r="F1257" s="39" t="n"/>
      <c r="G1257" s="36" t="n"/>
      <c r="H1257" s="40" t="n"/>
      <c r="I1257" s="40" t="n"/>
      <c r="J1257" s="41">
        <f>IF(ISNUMBER(H1257),H1257,IF(AND(D1257="労務費",TRIM(E1257)&lt;&gt;""),IFERROR(INDEX('設定'!$G$12:$G$31,MATCH(TRIM(E1257),'設定'!$J$12:$J$31,0)),""),""))</f>
        <v/>
      </c>
      <c r="K1257" s="30">
        <f>IF(AND(ISNUMBER(F1257),ISNUMBER(J1257)),ROUND(F1257*J1257,0),IF(ISNUMBER(I1257),I1257,""))</f>
        <v/>
      </c>
      <c r="L1257" s="33" t="n"/>
      <c r="M1257" s="34">
        <f>IF(COUNTA(A1257:B1257,D1257:I1257,L1257)=0,"",IF(B1257="","案件番号がありません",IF(ISNA(MATCH(B1257,'案件'!$A$6:$A$105,0)),"案件シートに無い番号です",IF(NOT(OR(D1257="材料費",D1257="労務費",D1257="外注費",D1257="経費")),"費目を4つから選んでください",IF(K1257="",IF(AND(ISNUMBER(F1257),NOT(ISNUMBER(J1257))),IF(D1257="労務費","単価がありません（設定の作業者名と同じ書き方に）","単価がありません"),IF(AND(ISNUMBER(J1257),NOT(ISNUMBER(F1257))),"数量がありません","金額がありません")),IF(NOT(ISNUMBER(A1257)),"日付がありません（月別集計に入りません）",IF(AND(ISNUMBER(F1257),ISNUMBER(J1257),ISNUMBER(I1257)),"数量×単価を使いました（金額の欄は使っていません）","")))))))</f>
        <v/>
      </c>
      <c r="N1257" s="91">
        <f>IF(AND(B1257&lt;&gt;"",B1257='案件カード'!$C$3),COUNTIF($B$5:B1257,'案件カード'!$C$3),"")</f>
        <v/>
      </c>
      <c r="O1257" s="91">
        <f>IF(ISNUMBER(K1257),IF(B1257="",K1257,IF(AND(ISNUMBER(MATCH(B1257,'案件'!$A$6:$A$105,0)),OR(D1257="材料費",D1257="労務費",D1257="外注費",D1257="経費")),0,K1257)),0)</f>
        <v/>
      </c>
    </row>
    <row r="1258" ht="16" customHeight="1">
      <c r="A1258" s="35" t="n"/>
      <c r="B1258" s="36" t="n"/>
      <c r="C1258" s="37">
        <f>IF(B1258="","",IFERROR(INDEX('案件'!$B$6:$B$105,MATCH(B1258,'案件'!$A$6:$A$105,0))&amp;"","（案件シートに無い番号）"))</f>
        <v/>
      </c>
      <c r="D1258" s="36" t="n"/>
      <c r="E1258" s="38" t="n"/>
      <c r="F1258" s="39" t="n"/>
      <c r="G1258" s="36" t="n"/>
      <c r="H1258" s="40" t="n"/>
      <c r="I1258" s="40" t="n"/>
      <c r="J1258" s="41">
        <f>IF(ISNUMBER(H1258),H1258,IF(AND(D1258="労務費",TRIM(E1258)&lt;&gt;""),IFERROR(INDEX('設定'!$G$12:$G$31,MATCH(TRIM(E1258),'設定'!$J$12:$J$31,0)),""),""))</f>
        <v/>
      </c>
      <c r="K1258" s="30">
        <f>IF(AND(ISNUMBER(F1258),ISNUMBER(J1258)),ROUND(F1258*J1258,0),IF(ISNUMBER(I1258),I1258,""))</f>
        <v/>
      </c>
      <c r="L1258" s="33" t="n"/>
      <c r="M1258" s="34">
        <f>IF(COUNTA(A1258:B1258,D1258:I1258,L1258)=0,"",IF(B1258="","案件番号がありません",IF(ISNA(MATCH(B1258,'案件'!$A$6:$A$105,0)),"案件シートに無い番号です",IF(NOT(OR(D1258="材料費",D1258="労務費",D1258="外注費",D1258="経費")),"費目を4つから選んでください",IF(K1258="",IF(AND(ISNUMBER(F1258),NOT(ISNUMBER(J1258))),IF(D1258="労務費","単価がありません（設定の作業者名と同じ書き方に）","単価がありません"),IF(AND(ISNUMBER(J1258),NOT(ISNUMBER(F1258))),"数量がありません","金額がありません")),IF(NOT(ISNUMBER(A1258)),"日付がありません（月別集計に入りません）",IF(AND(ISNUMBER(F1258),ISNUMBER(J1258),ISNUMBER(I1258)),"数量×単価を使いました（金額の欄は使っていません）","")))))))</f>
        <v/>
      </c>
      <c r="N1258" s="91">
        <f>IF(AND(B1258&lt;&gt;"",B1258='案件カード'!$C$3),COUNTIF($B$5:B1258,'案件カード'!$C$3),"")</f>
        <v/>
      </c>
      <c r="O1258" s="91">
        <f>IF(ISNUMBER(K1258),IF(B1258="",K1258,IF(AND(ISNUMBER(MATCH(B1258,'案件'!$A$6:$A$105,0)),OR(D1258="材料費",D1258="労務費",D1258="外注費",D1258="経費")),0,K1258)),0)</f>
        <v/>
      </c>
    </row>
    <row r="1259" ht="16" customHeight="1">
      <c r="A1259" s="35" t="n"/>
      <c r="B1259" s="36" t="n"/>
      <c r="C1259" s="37">
        <f>IF(B1259="","",IFERROR(INDEX('案件'!$B$6:$B$105,MATCH(B1259,'案件'!$A$6:$A$105,0))&amp;"","（案件シートに無い番号）"))</f>
        <v/>
      </c>
      <c r="D1259" s="36" t="n"/>
      <c r="E1259" s="38" t="n"/>
      <c r="F1259" s="39" t="n"/>
      <c r="G1259" s="36" t="n"/>
      <c r="H1259" s="40" t="n"/>
      <c r="I1259" s="40" t="n"/>
      <c r="J1259" s="41">
        <f>IF(ISNUMBER(H1259),H1259,IF(AND(D1259="労務費",TRIM(E1259)&lt;&gt;""),IFERROR(INDEX('設定'!$G$12:$G$31,MATCH(TRIM(E1259),'設定'!$J$12:$J$31,0)),""),""))</f>
        <v/>
      </c>
      <c r="K1259" s="30">
        <f>IF(AND(ISNUMBER(F1259),ISNUMBER(J1259)),ROUND(F1259*J1259,0),IF(ISNUMBER(I1259),I1259,""))</f>
        <v/>
      </c>
      <c r="L1259" s="33" t="n"/>
      <c r="M1259" s="34">
        <f>IF(COUNTA(A1259:B1259,D1259:I1259,L1259)=0,"",IF(B1259="","案件番号がありません",IF(ISNA(MATCH(B1259,'案件'!$A$6:$A$105,0)),"案件シートに無い番号です",IF(NOT(OR(D1259="材料費",D1259="労務費",D1259="外注費",D1259="経費")),"費目を4つから選んでください",IF(K1259="",IF(AND(ISNUMBER(F1259),NOT(ISNUMBER(J1259))),IF(D1259="労務費","単価がありません（設定の作業者名と同じ書き方に）","単価がありません"),IF(AND(ISNUMBER(J1259),NOT(ISNUMBER(F1259))),"数量がありません","金額がありません")),IF(NOT(ISNUMBER(A1259)),"日付がありません（月別集計に入りません）",IF(AND(ISNUMBER(F1259),ISNUMBER(J1259),ISNUMBER(I1259)),"数量×単価を使いました（金額の欄は使っていません）","")))))))</f>
        <v/>
      </c>
      <c r="N1259" s="91">
        <f>IF(AND(B1259&lt;&gt;"",B1259='案件カード'!$C$3),COUNTIF($B$5:B1259,'案件カード'!$C$3),"")</f>
        <v/>
      </c>
      <c r="O1259" s="91">
        <f>IF(ISNUMBER(K1259),IF(B1259="",K1259,IF(AND(ISNUMBER(MATCH(B1259,'案件'!$A$6:$A$105,0)),OR(D1259="材料費",D1259="労務費",D1259="外注費",D1259="経費")),0,K1259)),0)</f>
        <v/>
      </c>
    </row>
    <row r="1260" ht="16" customHeight="1">
      <c r="A1260" s="35" t="n"/>
      <c r="B1260" s="36" t="n"/>
      <c r="C1260" s="37">
        <f>IF(B1260="","",IFERROR(INDEX('案件'!$B$6:$B$105,MATCH(B1260,'案件'!$A$6:$A$105,0))&amp;"","（案件シートに無い番号）"))</f>
        <v/>
      </c>
      <c r="D1260" s="36" t="n"/>
      <c r="E1260" s="38" t="n"/>
      <c r="F1260" s="39" t="n"/>
      <c r="G1260" s="36" t="n"/>
      <c r="H1260" s="40" t="n"/>
      <c r="I1260" s="40" t="n"/>
      <c r="J1260" s="41">
        <f>IF(ISNUMBER(H1260),H1260,IF(AND(D1260="労務費",TRIM(E1260)&lt;&gt;""),IFERROR(INDEX('設定'!$G$12:$G$31,MATCH(TRIM(E1260),'設定'!$J$12:$J$31,0)),""),""))</f>
        <v/>
      </c>
      <c r="K1260" s="30">
        <f>IF(AND(ISNUMBER(F1260),ISNUMBER(J1260)),ROUND(F1260*J1260,0),IF(ISNUMBER(I1260),I1260,""))</f>
        <v/>
      </c>
      <c r="L1260" s="33" t="n"/>
      <c r="M1260" s="34">
        <f>IF(COUNTA(A1260:B1260,D1260:I1260,L1260)=0,"",IF(B1260="","案件番号がありません",IF(ISNA(MATCH(B1260,'案件'!$A$6:$A$105,0)),"案件シートに無い番号です",IF(NOT(OR(D1260="材料費",D1260="労務費",D1260="外注費",D1260="経費")),"費目を4つから選んでください",IF(K1260="",IF(AND(ISNUMBER(F1260),NOT(ISNUMBER(J1260))),IF(D1260="労務費","単価がありません（設定の作業者名と同じ書き方に）","単価がありません"),IF(AND(ISNUMBER(J1260),NOT(ISNUMBER(F1260))),"数量がありません","金額がありません")),IF(NOT(ISNUMBER(A1260)),"日付がありません（月別集計に入りません）",IF(AND(ISNUMBER(F1260),ISNUMBER(J1260),ISNUMBER(I1260)),"数量×単価を使いました（金額の欄は使っていません）","")))))))</f>
        <v/>
      </c>
      <c r="N1260" s="91">
        <f>IF(AND(B1260&lt;&gt;"",B1260='案件カード'!$C$3),COUNTIF($B$5:B1260,'案件カード'!$C$3),"")</f>
        <v/>
      </c>
      <c r="O1260" s="91">
        <f>IF(ISNUMBER(K1260),IF(B1260="",K1260,IF(AND(ISNUMBER(MATCH(B1260,'案件'!$A$6:$A$105,0)),OR(D1260="材料費",D1260="労務費",D1260="外注費",D1260="経費")),0,K1260)),0)</f>
        <v/>
      </c>
    </row>
    <row r="1261" ht="16" customHeight="1">
      <c r="A1261" s="35" t="n"/>
      <c r="B1261" s="36" t="n"/>
      <c r="C1261" s="37">
        <f>IF(B1261="","",IFERROR(INDEX('案件'!$B$6:$B$105,MATCH(B1261,'案件'!$A$6:$A$105,0))&amp;"","（案件シートに無い番号）"))</f>
        <v/>
      </c>
      <c r="D1261" s="36" t="n"/>
      <c r="E1261" s="38" t="n"/>
      <c r="F1261" s="39" t="n"/>
      <c r="G1261" s="36" t="n"/>
      <c r="H1261" s="40" t="n"/>
      <c r="I1261" s="40" t="n"/>
      <c r="J1261" s="41">
        <f>IF(ISNUMBER(H1261),H1261,IF(AND(D1261="労務費",TRIM(E1261)&lt;&gt;""),IFERROR(INDEX('設定'!$G$12:$G$31,MATCH(TRIM(E1261),'設定'!$J$12:$J$31,0)),""),""))</f>
        <v/>
      </c>
      <c r="K1261" s="30">
        <f>IF(AND(ISNUMBER(F1261),ISNUMBER(J1261)),ROUND(F1261*J1261,0),IF(ISNUMBER(I1261),I1261,""))</f>
        <v/>
      </c>
      <c r="L1261" s="33" t="n"/>
      <c r="M1261" s="34">
        <f>IF(COUNTA(A1261:B1261,D1261:I1261,L1261)=0,"",IF(B1261="","案件番号がありません",IF(ISNA(MATCH(B1261,'案件'!$A$6:$A$105,0)),"案件シートに無い番号です",IF(NOT(OR(D1261="材料費",D1261="労務費",D1261="外注費",D1261="経費")),"費目を4つから選んでください",IF(K1261="",IF(AND(ISNUMBER(F1261),NOT(ISNUMBER(J1261))),IF(D1261="労務費","単価がありません（設定の作業者名と同じ書き方に）","単価がありません"),IF(AND(ISNUMBER(J1261),NOT(ISNUMBER(F1261))),"数量がありません","金額がありません")),IF(NOT(ISNUMBER(A1261)),"日付がありません（月別集計に入りません）",IF(AND(ISNUMBER(F1261),ISNUMBER(J1261),ISNUMBER(I1261)),"数量×単価を使いました（金額の欄は使っていません）","")))))))</f>
        <v/>
      </c>
      <c r="N1261" s="91">
        <f>IF(AND(B1261&lt;&gt;"",B1261='案件カード'!$C$3),COUNTIF($B$5:B1261,'案件カード'!$C$3),"")</f>
        <v/>
      </c>
      <c r="O1261" s="91">
        <f>IF(ISNUMBER(K1261),IF(B1261="",K1261,IF(AND(ISNUMBER(MATCH(B1261,'案件'!$A$6:$A$105,0)),OR(D1261="材料費",D1261="労務費",D1261="外注費",D1261="経費")),0,K1261)),0)</f>
        <v/>
      </c>
    </row>
    <row r="1262" ht="16" customHeight="1">
      <c r="A1262" s="35" t="n"/>
      <c r="B1262" s="36" t="n"/>
      <c r="C1262" s="37">
        <f>IF(B1262="","",IFERROR(INDEX('案件'!$B$6:$B$105,MATCH(B1262,'案件'!$A$6:$A$105,0))&amp;"","（案件シートに無い番号）"))</f>
        <v/>
      </c>
      <c r="D1262" s="36" t="n"/>
      <c r="E1262" s="38" t="n"/>
      <c r="F1262" s="39" t="n"/>
      <c r="G1262" s="36" t="n"/>
      <c r="H1262" s="40" t="n"/>
      <c r="I1262" s="40" t="n"/>
      <c r="J1262" s="41">
        <f>IF(ISNUMBER(H1262),H1262,IF(AND(D1262="労務費",TRIM(E1262)&lt;&gt;""),IFERROR(INDEX('設定'!$G$12:$G$31,MATCH(TRIM(E1262),'設定'!$J$12:$J$31,0)),""),""))</f>
        <v/>
      </c>
      <c r="K1262" s="30">
        <f>IF(AND(ISNUMBER(F1262),ISNUMBER(J1262)),ROUND(F1262*J1262,0),IF(ISNUMBER(I1262),I1262,""))</f>
        <v/>
      </c>
      <c r="L1262" s="33" t="n"/>
      <c r="M1262" s="34">
        <f>IF(COUNTA(A1262:B1262,D1262:I1262,L1262)=0,"",IF(B1262="","案件番号がありません",IF(ISNA(MATCH(B1262,'案件'!$A$6:$A$105,0)),"案件シートに無い番号です",IF(NOT(OR(D1262="材料費",D1262="労務費",D1262="外注費",D1262="経費")),"費目を4つから選んでください",IF(K1262="",IF(AND(ISNUMBER(F1262),NOT(ISNUMBER(J1262))),IF(D1262="労務費","単価がありません（設定の作業者名と同じ書き方に）","単価がありません"),IF(AND(ISNUMBER(J1262),NOT(ISNUMBER(F1262))),"数量がありません","金額がありません")),IF(NOT(ISNUMBER(A1262)),"日付がありません（月別集計に入りません）",IF(AND(ISNUMBER(F1262),ISNUMBER(J1262),ISNUMBER(I1262)),"数量×単価を使いました（金額の欄は使っていません）","")))))))</f>
        <v/>
      </c>
      <c r="N1262" s="91">
        <f>IF(AND(B1262&lt;&gt;"",B1262='案件カード'!$C$3),COUNTIF($B$5:B1262,'案件カード'!$C$3),"")</f>
        <v/>
      </c>
      <c r="O1262" s="91">
        <f>IF(ISNUMBER(K1262),IF(B1262="",K1262,IF(AND(ISNUMBER(MATCH(B1262,'案件'!$A$6:$A$105,0)),OR(D1262="材料費",D1262="労務費",D1262="外注費",D1262="経費")),0,K1262)),0)</f>
        <v/>
      </c>
    </row>
    <row r="1263" ht="16" customHeight="1">
      <c r="A1263" s="35" t="n"/>
      <c r="B1263" s="36" t="n"/>
      <c r="C1263" s="37">
        <f>IF(B1263="","",IFERROR(INDEX('案件'!$B$6:$B$105,MATCH(B1263,'案件'!$A$6:$A$105,0))&amp;"","（案件シートに無い番号）"))</f>
        <v/>
      </c>
      <c r="D1263" s="36" t="n"/>
      <c r="E1263" s="38" t="n"/>
      <c r="F1263" s="39" t="n"/>
      <c r="G1263" s="36" t="n"/>
      <c r="H1263" s="40" t="n"/>
      <c r="I1263" s="40" t="n"/>
      <c r="J1263" s="41">
        <f>IF(ISNUMBER(H1263),H1263,IF(AND(D1263="労務費",TRIM(E1263)&lt;&gt;""),IFERROR(INDEX('設定'!$G$12:$G$31,MATCH(TRIM(E1263),'設定'!$J$12:$J$31,0)),""),""))</f>
        <v/>
      </c>
      <c r="K1263" s="30">
        <f>IF(AND(ISNUMBER(F1263),ISNUMBER(J1263)),ROUND(F1263*J1263,0),IF(ISNUMBER(I1263),I1263,""))</f>
        <v/>
      </c>
      <c r="L1263" s="33" t="n"/>
      <c r="M1263" s="34">
        <f>IF(COUNTA(A1263:B1263,D1263:I1263,L1263)=0,"",IF(B1263="","案件番号がありません",IF(ISNA(MATCH(B1263,'案件'!$A$6:$A$105,0)),"案件シートに無い番号です",IF(NOT(OR(D1263="材料費",D1263="労務費",D1263="外注費",D1263="経費")),"費目を4つから選んでください",IF(K1263="",IF(AND(ISNUMBER(F1263),NOT(ISNUMBER(J1263))),IF(D1263="労務費","単価がありません（設定の作業者名と同じ書き方に）","単価がありません"),IF(AND(ISNUMBER(J1263),NOT(ISNUMBER(F1263))),"数量がありません","金額がありません")),IF(NOT(ISNUMBER(A1263)),"日付がありません（月別集計に入りません）",IF(AND(ISNUMBER(F1263),ISNUMBER(J1263),ISNUMBER(I1263)),"数量×単価を使いました（金額の欄は使っていません）","")))))))</f>
        <v/>
      </c>
      <c r="N1263" s="91">
        <f>IF(AND(B1263&lt;&gt;"",B1263='案件カード'!$C$3),COUNTIF($B$5:B1263,'案件カード'!$C$3),"")</f>
        <v/>
      </c>
      <c r="O1263" s="91">
        <f>IF(ISNUMBER(K1263),IF(B1263="",K1263,IF(AND(ISNUMBER(MATCH(B1263,'案件'!$A$6:$A$105,0)),OR(D1263="材料費",D1263="労務費",D1263="外注費",D1263="経費")),0,K1263)),0)</f>
        <v/>
      </c>
    </row>
    <row r="1264" ht="16" customHeight="1">
      <c r="A1264" s="35" t="n"/>
      <c r="B1264" s="36" t="n"/>
      <c r="C1264" s="37">
        <f>IF(B1264="","",IFERROR(INDEX('案件'!$B$6:$B$105,MATCH(B1264,'案件'!$A$6:$A$105,0))&amp;"","（案件シートに無い番号）"))</f>
        <v/>
      </c>
      <c r="D1264" s="36" t="n"/>
      <c r="E1264" s="38" t="n"/>
      <c r="F1264" s="39" t="n"/>
      <c r="G1264" s="36" t="n"/>
      <c r="H1264" s="40" t="n"/>
      <c r="I1264" s="40" t="n"/>
      <c r="J1264" s="41">
        <f>IF(ISNUMBER(H1264),H1264,IF(AND(D1264="労務費",TRIM(E1264)&lt;&gt;""),IFERROR(INDEX('設定'!$G$12:$G$31,MATCH(TRIM(E1264),'設定'!$J$12:$J$31,0)),""),""))</f>
        <v/>
      </c>
      <c r="K1264" s="30">
        <f>IF(AND(ISNUMBER(F1264),ISNUMBER(J1264)),ROUND(F1264*J1264,0),IF(ISNUMBER(I1264),I1264,""))</f>
        <v/>
      </c>
      <c r="L1264" s="33" t="n"/>
      <c r="M1264" s="34">
        <f>IF(COUNTA(A1264:B1264,D1264:I1264,L1264)=0,"",IF(B1264="","案件番号がありません",IF(ISNA(MATCH(B1264,'案件'!$A$6:$A$105,0)),"案件シートに無い番号です",IF(NOT(OR(D1264="材料費",D1264="労務費",D1264="外注費",D1264="経費")),"費目を4つから選んでください",IF(K1264="",IF(AND(ISNUMBER(F1264),NOT(ISNUMBER(J1264))),IF(D1264="労務費","単価がありません（設定の作業者名と同じ書き方に）","単価がありません"),IF(AND(ISNUMBER(J1264),NOT(ISNUMBER(F1264))),"数量がありません","金額がありません")),IF(NOT(ISNUMBER(A1264)),"日付がありません（月別集計に入りません）",IF(AND(ISNUMBER(F1264),ISNUMBER(J1264),ISNUMBER(I1264)),"数量×単価を使いました（金額の欄は使っていません）","")))))))</f>
        <v/>
      </c>
      <c r="N1264" s="91">
        <f>IF(AND(B1264&lt;&gt;"",B1264='案件カード'!$C$3),COUNTIF($B$5:B1264,'案件カード'!$C$3),"")</f>
        <v/>
      </c>
      <c r="O1264" s="91">
        <f>IF(ISNUMBER(K1264),IF(B1264="",K1264,IF(AND(ISNUMBER(MATCH(B1264,'案件'!$A$6:$A$105,0)),OR(D1264="材料費",D1264="労務費",D1264="外注費",D1264="経費")),0,K1264)),0)</f>
        <v/>
      </c>
    </row>
    <row r="1265" ht="16" customHeight="1">
      <c r="A1265" s="35" t="n"/>
      <c r="B1265" s="36" t="n"/>
      <c r="C1265" s="37">
        <f>IF(B1265="","",IFERROR(INDEX('案件'!$B$6:$B$105,MATCH(B1265,'案件'!$A$6:$A$105,0))&amp;"","（案件シートに無い番号）"))</f>
        <v/>
      </c>
      <c r="D1265" s="36" t="n"/>
      <c r="E1265" s="38" t="n"/>
      <c r="F1265" s="39" t="n"/>
      <c r="G1265" s="36" t="n"/>
      <c r="H1265" s="40" t="n"/>
      <c r="I1265" s="40" t="n"/>
      <c r="J1265" s="41">
        <f>IF(ISNUMBER(H1265),H1265,IF(AND(D1265="労務費",TRIM(E1265)&lt;&gt;""),IFERROR(INDEX('設定'!$G$12:$G$31,MATCH(TRIM(E1265),'設定'!$J$12:$J$31,0)),""),""))</f>
        <v/>
      </c>
      <c r="K1265" s="30">
        <f>IF(AND(ISNUMBER(F1265),ISNUMBER(J1265)),ROUND(F1265*J1265,0),IF(ISNUMBER(I1265),I1265,""))</f>
        <v/>
      </c>
      <c r="L1265" s="33" t="n"/>
      <c r="M1265" s="34">
        <f>IF(COUNTA(A1265:B1265,D1265:I1265,L1265)=0,"",IF(B1265="","案件番号がありません",IF(ISNA(MATCH(B1265,'案件'!$A$6:$A$105,0)),"案件シートに無い番号です",IF(NOT(OR(D1265="材料費",D1265="労務費",D1265="外注費",D1265="経費")),"費目を4つから選んでください",IF(K1265="",IF(AND(ISNUMBER(F1265),NOT(ISNUMBER(J1265))),IF(D1265="労務費","単価がありません（設定の作業者名と同じ書き方に）","単価がありません"),IF(AND(ISNUMBER(J1265),NOT(ISNUMBER(F1265))),"数量がありません","金額がありません")),IF(NOT(ISNUMBER(A1265)),"日付がありません（月別集計に入りません）",IF(AND(ISNUMBER(F1265),ISNUMBER(J1265),ISNUMBER(I1265)),"数量×単価を使いました（金額の欄は使っていません）","")))))))</f>
        <v/>
      </c>
      <c r="N1265" s="91">
        <f>IF(AND(B1265&lt;&gt;"",B1265='案件カード'!$C$3),COUNTIF($B$5:B1265,'案件カード'!$C$3),"")</f>
        <v/>
      </c>
      <c r="O1265" s="91">
        <f>IF(ISNUMBER(K1265),IF(B1265="",K1265,IF(AND(ISNUMBER(MATCH(B1265,'案件'!$A$6:$A$105,0)),OR(D1265="材料費",D1265="労務費",D1265="外注費",D1265="経費")),0,K1265)),0)</f>
        <v/>
      </c>
    </row>
    <row r="1266" ht="16" customHeight="1">
      <c r="A1266" s="35" t="n"/>
      <c r="B1266" s="36" t="n"/>
      <c r="C1266" s="37">
        <f>IF(B1266="","",IFERROR(INDEX('案件'!$B$6:$B$105,MATCH(B1266,'案件'!$A$6:$A$105,0))&amp;"","（案件シートに無い番号）"))</f>
        <v/>
      </c>
      <c r="D1266" s="36" t="n"/>
      <c r="E1266" s="38" t="n"/>
      <c r="F1266" s="39" t="n"/>
      <c r="G1266" s="36" t="n"/>
      <c r="H1266" s="40" t="n"/>
      <c r="I1266" s="40" t="n"/>
      <c r="J1266" s="41">
        <f>IF(ISNUMBER(H1266),H1266,IF(AND(D1266="労務費",TRIM(E1266)&lt;&gt;""),IFERROR(INDEX('設定'!$G$12:$G$31,MATCH(TRIM(E1266),'設定'!$J$12:$J$31,0)),""),""))</f>
        <v/>
      </c>
      <c r="K1266" s="30">
        <f>IF(AND(ISNUMBER(F1266),ISNUMBER(J1266)),ROUND(F1266*J1266,0),IF(ISNUMBER(I1266),I1266,""))</f>
        <v/>
      </c>
      <c r="L1266" s="33" t="n"/>
      <c r="M1266" s="34">
        <f>IF(COUNTA(A1266:B1266,D1266:I1266,L1266)=0,"",IF(B1266="","案件番号がありません",IF(ISNA(MATCH(B1266,'案件'!$A$6:$A$105,0)),"案件シートに無い番号です",IF(NOT(OR(D1266="材料費",D1266="労務費",D1266="外注費",D1266="経費")),"費目を4つから選んでください",IF(K1266="",IF(AND(ISNUMBER(F1266),NOT(ISNUMBER(J1266))),IF(D1266="労務費","単価がありません（設定の作業者名と同じ書き方に）","単価がありません"),IF(AND(ISNUMBER(J1266),NOT(ISNUMBER(F1266))),"数量がありません","金額がありません")),IF(NOT(ISNUMBER(A1266)),"日付がありません（月別集計に入りません）",IF(AND(ISNUMBER(F1266),ISNUMBER(J1266),ISNUMBER(I1266)),"数量×単価を使いました（金額の欄は使っていません）","")))))))</f>
        <v/>
      </c>
      <c r="N1266" s="91">
        <f>IF(AND(B1266&lt;&gt;"",B1266='案件カード'!$C$3),COUNTIF($B$5:B1266,'案件カード'!$C$3),"")</f>
        <v/>
      </c>
      <c r="O1266" s="91">
        <f>IF(ISNUMBER(K1266),IF(B1266="",K1266,IF(AND(ISNUMBER(MATCH(B1266,'案件'!$A$6:$A$105,0)),OR(D1266="材料費",D1266="労務費",D1266="外注費",D1266="経費")),0,K1266)),0)</f>
        <v/>
      </c>
    </row>
    <row r="1267" ht="16" customHeight="1">
      <c r="A1267" s="35" t="n"/>
      <c r="B1267" s="36" t="n"/>
      <c r="C1267" s="37">
        <f>IF(B1267="","",IFERROR(INDEX('案件'!$B$6:$B$105,MATCH(B1267,'案件'!$A$6:$A$105,0))&amp;"","（案件シートに無い番号）"))</f>
        <v/>
      </c>
      <c r="D1267" s="36" t="n"/>
      <c r="E1267" s="38" t="n"/>
      <c r="F1267" s="39" t="n"/>
      <c r="G1267" s="36" t="n"/>
      <c r="H1267" s="40" t="n"/>
      <c r="I1267" s="40" t="n"/>
      <c r="J1267" s="41">
        <f>IF(ISNUMBER(H1267),H1267,IF(AND(D1267="労務費",TRIM(E1267)&lt;&gt;""),IFERROR(INDEX('設定'!$G$12:$G$31,MATCH(TRIM(E1267),'設定'!$J$12:$J$31,0)),""),""))</f>
        <v/>
      </c>
      <c r="K1267" s="30">
        <f>IF(AND(ISNUMBER(F1267),ISNUMBER(J1267)),ROUND(F1267*J1267,0),IF(ISNUMBER(I1267),I1267,""))</f>
        <v/>
      </c>
      <c r="L1267" s="33" t="n"/>
      <c r="M1267" s="34">
        <f>IF(COUNTA(A1267:B1267,D1267:I1267,L1267)=0,"",IF(B1267="","案件番号がありません",IF(ISNA(MATCH(B1267,'案件'!$A$6:$A$105,0)),"案件シートに無い番号です",IF(NOT(OR(D1267="材料費",D1267="労務費",D1267="外注費",D1267="経費")),"費目を4つから選んでください",IF(K1267="",IF(AND(ISNUMBER(F1267),NOT(ISNUMBER(J1267))),IF(D1267="労務費","単価がありません（設定の作業者名と同じ書き方に）","単価がありません"),IF(AND(ISNUMBER(J1267),NOT(ISNUMBER(F1267))),"数量がありません","金額がありません")),IF(NOT(ISNUMBER(A1267)),"日付がありません（月別集計に入りません）",IF(AND(ISNUMBER(F1267),ISNUMBER(J1267),ISNUMBER(I1267)),"数量×単価を使いました（金額の欄は使っていません）","")))))))</f>
        <v/>
      </c>
      <c r="N1267" s="91">
        <f>IF(AND(B1267&lt;&gt;"",B1267='案件カード'!$C$3),COUNTIF($B$5:B1267,'案件カード'!$C$3),"")</f>
        <v/>
      </c>
      <c r="O1267" s="91">
        <f>IF(ISNUMBER(K1267),IF(B1267="",K1267,IF(AND(ISNUMBER(MATCH(B1267,'案件'!$A$6:$A$105,0)),OR(D1267="材料費",D1267="労務費",D1267="外注費",D1267="経費")),0,K1267)),0)</f>
        <v/>
      </c>
    </row>
    <row r="1268" ht="16" customHeight="1">
      <c r="A1268" s="35" t="n"/>
      <c r="B1268" s="36" t="n"/>
      <c r="C1268" s="37">
        <f>IF(B1268="","",IFERROR(INDEX('案件'!$B$6:$B$105,MATCH(B1268,'案件'!$A$6:$A$105,0))&amp;"","（案件シートに無い番号）"))</f>
        <v/>
      </c>
      <c r="D1268" s="36" t="n"/>
      <c r="E1268" s="38" t="n"/>
      <c r="F1268" s="39" t="n"/>
      <c r="G1268" s="36" t="n"/>
      <c r="H1268" s="40" t="n"/>
      <c r="I1268" s="40" t="n"/>
      <c r="J1268" s="41">
        <f>IF(ISNUMBER(H1268),H1268,IF(AND(D1268="労務費",TRIM(E1268)&lt;&gt;""),IFERROR(INDEX('設定'!$G$12:$G$31,MATCH(TRIM(E1268),'設定'!$J$12:$J$31,0)),""),""))</f>
        <v/>
      </c>
      <c r="K1268" s="30">
        <f>IF(AND(ISNUMBER(F1268),ISNUMBER(J1268)),ROUND(F1268*J1268,0),IF(ISNUMBER(I1268),I1268,""))</f>
        <v/>
      </c>
      <c r="L1268" s="33" t="n"/>
      <c r="M1268" s="34">
        <f>IF(COUNTA(A1268:B1268,D1268:I1268,L1268)=0,"",IF(B1268="","案件番号がありません",IF(ISNA(MATCH(B1268,'案件'!$A$6:$A$105,0)),"案件シートに無い番号です",IF(NOT(OR(D1268="材料費",D1268="労務費",D1268="外注費",D1268="経費")),"費目を4つから選んでください",IF(K1268="",IF(AND(ISNUMBER(F1268),NOT(ISNUMBER(J1268))),IF(D1268="労務費","単価がありません（設定の作業者名と同じ書き方に）","単価がありません"),IF(AND(ISNUMBER(J1268),NOT(ISNUMBER(F1268))),"数量がありません","金額がありません")),IF(NOT(ISNUMBER(A1268)),"日付がありません（月別集計に入りません）",IF(AND(ISNUMBER(F1268),ISNUMBER(J1268),ISNUMBER(I1268)),"数量×単価を使いました（金額の欄は使っていません）","")))))))</f>
        <v/>
      </c>
      <c r="N1268" s="91">
        <f>IF(AND(B1268&lt;&gt;"",B1268='案件カード'!$C$3),COUNTIF($B$5:B1268,'案件カード'!$C$3),"")</f>
        <v/>
      </c>
      <c r="O1268" s="91">
        <f>IF(ISNUMBER(K1268),IF(B1268="",K1268,IF(AND(ISNUMBER(MATCH(B1268,'案件'!$A$6:$A$105,0)),OR(D1268="材料費",D1268="労務費",D1268="外注費",D1268="経費")),0,K1268)),0)</f>
        <v/>
      </c>
    </row>
    <row r="1269" ht="16" customHeight="1">
      <c r="A1269" s="35" t="n"/>
      <c r="B1269" s="36" t="n"/>
      <c r="C1269" s="37">
        <f>IF(B1269="","",IFERROR(INDEX('案件'!$B$6:$B$105,MATCH(B1269,'案件'!$A$6:$A$105,0))&amp;"","（案件シートに無い番号）"))</f>
        <v/>
      </c>
      <c r="D1269" s="36" t="n"/>
      <c r="E1269" s="38" t="n"/>
      <c r="F1269" s="39" t="n"/>
      <c r="G1269" s="36" t="n"/>
      <c r="H1269" s="40" t="n"/>
      <c r="I1269" s="40" t="n"/>
      <c r="J1269" s="41">
        <f>IF(ISNUMBER(H1269),H1269,IF(AND(D1269="労務費",TRIM(E1269)&lt;&gt;""),IFERROR(INDEX('設定'!$G$12:$G$31,MATCH(TRIM(E1269),'設定'!$J$12:$J$31,0)),""),""))</f>
        <v/>
      </c>
      <c r="K1269" s="30">
        <f>IF(AND(ISNUMBER(F1269),ISNUMBER(J1269)),ROUND(F1269*J1269,0),IF(ISNUMBER(I1269),I1269,""))</f>
        <v/>
      </c>
      <c r="L1269" s="33" t="n"/>
      <c r="M1269" s="34">
        <f>IF(COUNTA(A1269:B1269,D1269:I1269,L1269)=0,"",IF(B1269="","案件番号がありません",IF(ISNA(MATCH(B1269,'案件'!$A$6:$A$105,0)),"案件シートに無い番号です",IF(NOT(OR(D1269="材料費",D1269="労務費",D1269="外注費",D1269="経費")),"費目を4つから選んでください",IF(K1269="",IF(AND(ISNUMBER(F1269),NOT(ISNUMBER(J1269))),IF(D1269="労務費","単価がありません（設定の作業者名と同じ書き方に）","単価がありません"),IF(AND(ISNUMBER(J1269),NOT(ISNUMBER(F1269))),"数量がありません","金額がありません")),IF(NOT(ISNUMBER(A1269)),"日付がありません（月別集計に入りません）",IF(AND(ISNUMBER(F1269),ISNUMBER(J1269),ISNUMBER(I1269)),"数量×単価を使いました（金額の欄は使っていません）","")))))))</f>
        <v/>
      </c>
      <c r="N1269" s="91">
        <f>IF(AND(B1269&lt;&gt;"",B1269='案件カード'!$C$3),COUNTIF($B$5:B1269,'案件カード'!$C$3),"")</f>
        <v/>
      </c>
      <c r="O1269" s="91">
        <f>IF(ISNUMBER(K1269),IF(B1269="",K1269,IF(AND(ISNUMBER(MATCH(B1269,'案件'!$A$6:$A$105,0)),OR(D1269="材料費",D1269="労務費",D1269="外注費",D1269="経費")),0,K1269)),0)</f>
        <v/>
      </c>
    </row>
    <row r="1270" ht="16" customHeight="1">
      <c r="A1270" s="35" t="n"/>
      <c r="B1270" s="36" t="n"/>
      <c r="C1270" s="37">
        <f>IF(B1270="","",IFERROR(INDEX('案件'!$B$6:$B$105,MATCH(B1270,'案件'!$A$6:$A$105,0))&amp;"","（案件シートに無い番号）"))</f>
        <v/>
      </c>
      <c r="D1270" s="36" t="n"/>
      <c r="E1270" s="38" t="n"/>
      <c r="F1270" s="39" t="n"/>
      <c r="G1270" s="36" t="n"/>
      <c r="H1270" s="40" t="n"/>
      <c r="I1270" s="40" t="n"/>
      <c r="J1270" s="41">
        <f>IF(ISNUMBER(H1270),H1270,IF(AND(D1270="労務費",TRIM(E1270)&lt;&gt;""),IFERROR(INDEX('設定'!$G$12:$G$31,MATCH(TRIM(E1270),'設定'!$J$12:$J$31,0)),""),""))</f>
        <v/>
      </c>
      <c r="K1270" s="30">
        <f>IF(AND(ISNUMBER(F1270),ISNUMBER(J1270)),ROUND(F1270*J1270,0),IF(ISNUMBER(I1270),I1270,""))</f>
        <v/>
      </c>
      <c r="L1270" s="33" t="n"/>
      <c r="M1270" s="34">
        <f>IF(COUNTA(A1270:B1270,D1270:I1270,L1270)=0,"",IF(B1270="","案件番号がありません",IF(ISNA(MATCH(B1270,'案件'!$A$6:$A$105,0)),"案件シートに無い番号です",IF(NOT(OR(D1270="材料費",D1270="労務費",D1270="外注費",D1270="経費")),"費目を4つから選んでください",IF(K1270="",IF(AND(ISNUMBER(F1270),NOT(ISNUMBER(J1270))),IF(D1270="労務費","単価がありません（設定の作業者名と同じ書き方に）","単価がありません"),IF(AND(ISNUMBER(J1270),NOT(ISNUMBER(F1270))),"数量がありません","金額がありません")),IF(NOT(ISNUMBER(A1270)),"日付がありません（月別集計に入りません）",IF(AND(ISNUMBER(F1270),ISNUMBER(J1270),ISNUMBER(I1270)),"数量×単価を使いました（金額の欄は使っていません）","")))))))</f>
        <v/>
      </c>
      <c r="N1270" s="91">
        <f>IF(AND(B1270&lt;&gt;"",B1270='案件カード'!$C$3),COUNTIF($B$5:B1270,'案件カード'!$C$3),"")</f>
        <v/>
      </c>
      <c r="O1270" s="91">
        <f>IF(ISNUMBER(K1270),IF(B1270="",K1270,IF(AND(ISNUMBER(MATCH(B1270,'案件'!$A$6:$A$105,0)),OR(D1270="材料費",D1270="労務費",D1270="外注費",D1270="経費")),0,K1270)),0)</f>
        <v/>
      </c>
    </row>
    <row r="1271" ht="16" customHeight="1">
      <c r="A1271" s="35" t="n"/>
      <c r="B1271" s="36" t="n"/>
      <c r="C1271" s="37">
        <f>IF(B1271="","",IFERROR(INDEX('案件'!$B$6:$B$105,MATCH(B1271,'案件'!$A$6:$A$105,0))&amp;"","（案件シートに無い番号）"))</f>
        <v/>
      </c>
      <c r="D1271" s="36" t="n"/>
      <c r="E1271" s="38" t="n"/>
      <c r="F1271" s="39" t="n"/>
      <c r="G1271" s="36" t="n"/>
      <c r="H1271" s="40" t="n"/>
      <c r="I1271" s="40" t="n"/>
      <c r="J1271" s="41">
        <f>IF(ISNUMBER(H1271),H1271,IF(AND(D1271="労務費",TRIM(E1271)&lt;&gt;""),IFERROR(INDEX('設定'!$G$12:$G$31,MATCH(TRIM(E1271),'設定'!$J$12:$J$31,0)),""),""))</f>
        <v/>
      </c>
      <c r="K1271" s="30">
        <f>IF(AND(ISNUMBER(F1271),ISNUMBER(J1271)),ROUND(F1271*J1271,0),IF(ISNUMBER(I1271),I1271,""))</f>
        <v/>
      </c>
      <c r="L1271" s="33" t="n"/>
      <c r="M1271" s="34">
        <f>IF(COUNTA(A1271:B1271,D1271:I1271,L1271)=0,"",IF(B1271="","案件番号がありません",IF(ISNA(MATCH(B1271,'案件'!$A$6:$A$105,0)),"案件シートに無い番号です",IF(NOT(OR(D1271="材料費",D1271="労務費",D1271="外注費",D1271="経費")),"費目を4つから選んでください",IF(K1271="",IF(AND(ISNUMBER(F1271),NOT(ISNUMBER(J1271))),IF(D1271="労務費","単価がありません（設定の作業者名と同じ書き方に）","単価がありません"),IF(AND(ISNUMBER(J1271),NOT(ISNUMBER(F1271))),"数量がありません","金額がありません")),IF(NOT(ISNUMBER(A1271)),"日付がありません（月別集計に入りません）",IF(AND(ISNUMBER(F1271),ISNUMBER(J1271),ISNUMBER(I1271)),"数量×単価を使いました（金額の欄は使っていません）","")))))))</f>
        <v/>
      </c>
      <c r="N1271" s="91">
        <f>IF(AND(B1271&lt;&gt;"",B1271='案件カード'!$C$3),COUNTIF($B$5:B1271,'案件カード'!$C$3),"")</f>
        <v/>
      </c>
      <c r="O1271" s="91">
        <f>IF(ISNUMBER(K1271),IF(B1271="",K1271,IF(AND(ISNUMBER(MATCH(B1271,'案件'!$A$6:$A$105,0)),OR(D1271="材料費",D1271="労務費",D1271="外注費",D1271="経費")),0,K1271)),0)</f>
        <v/>
      </c>
    </row>
    <row r="1272" ht="16" customHeight="1">
      <c r="A1272" s="35" t="n"/>
      <c r="B1272" s="36" t="n"/>
      <c r="C1272" s="37">
        <f>IF(B1272="","",IFERROR(INDEX('案件'!$B$6:$B$105,MATCH(B1272,'案件'!$A$6:$A$105,0))&amp;"","（案件シートに無い番号）"))</f>
        <v/>
      </c>
      <c r="D1272" s="36" t="n"/>
      <c r="E1272" s="38" t="n"/>
      <c r="F1272" s="39" t="n"/>
      <c r="G1272" s="36" t="n"/>
      <c r="H1272" s="40" t="n"/>
      <c r="I1272" s="40" t="n"/>
      <c r="J1272" s="41">
        <f>IF(ISNUMBER(H1272),H1272,IF(AND(D1272="労務費",TRIM(E1272)&lt;&gt;""),IFERROR(INDEX('設定'!$G$12:$G$31,MATCH(TRIM(E1272),'設定'!$J$12:$J$31,0)),""),""))</f>
        <v/>
      </c>
      <c r="K1272" s="30">
        <f>IF(AND(ISNUMBER(F1272),ISNUMBER(J1272)),ROUND(F1272*J1272,0),IF(ISNUMBER(I1272),I1272,""))</f>
        <v/>
      </c>
      <c r="L1272" s="33" t="n"/>
      <c r="M1272" s="34">
        <f>IF(COUNTA(A1272:B1272,D1272:I1272,L1272)=0,"",IF(B1272="","案件番号がありません",IF(ISNA(MATCH(B1272,'案件'!$A$6:$A$105,0)),"案件シートに無い番号です",IF(NOT(OR(D1272="材料費",D1272="労務費",D1272="外注費",D1272="経費")),"費目を4つから選んでください",IF(K1272="",IF(AND(ISNUMBER(F1272),NOT(ISNUMBER(J1272))),IF(D1272="労務費","単価がありません（設定の作業者名と同じ書き方に）","単価がありません"),IF(AND(ISNUMBER(J1272),NOT(ISNUMBER(F1272))),"数量がありません","金額がありません")),IF(NOT(ISNUMBER(A1272)),"日付がありません（月別集計に入りません）",IF(AND(ISNUMBER(F1272),ISNUMBER(J1272),ISNUMBER(I1272)),"数量×単価を使いました（金額の欄は使っていません）","")))))))</f>
        <v/>
      </c>
      <c r="N1272" s="91">
        <f>IF(AND(B1272&lt;&gt;"",B1272='案件カード'!$C$3),COUNTIF($B$5:B1272,'案件カード'!$C$3),"")</f>
        <v/>
      </c>
      <c r="O1272" s="91">
        <f>IF(ISNUMBER(K1272),IF(B1272="",K1272,IF(AND(ISNUMBER(MATCH(B1272,'案件'!$A$6:$A$105,0)),OR(D1272="材料費",D1272="労務費",D1272="外注費",D1272="経費")),0,K1272)),0)</f>
        <v/>
      </c>
    </row>
    <row r="1273" ht="16" customHeight="1">
      <c r="A1273" s="35" t="n"/>
      <c r="B1273" s="36" t="n"/>
      <c r="C1273" s="37">
        <f>IF(B1273="","",IFERROR(INDEX('案件'!$B$6:$B$105,MATCH(B1273,'案件'!$A$6:$A$105,0))&amp;"","（案件シートに無い番号）"))</f>
        <v/>
      </c>
      <c r="D1273" s="36" t="n"/>
      <c r="E1273" s="38" t="n"/>
      <c r="F1273" s="39" t="n"/>
      <c r="G1273" s="36" t="n"/>
      <c r="H1273" s="40" t="n"/>
      <c r="I1273" s="40" t="n"/>
      <c r="J1273" s="41">
        <f>IF(ISNUMBER(H1273),H1273,IF(AND(D1273="労務費",TRIM(E1273)&lt;&gt;""),IFERROR(INDEX('設定'!$G$12:$G$31,MATCH(TRIM(E1273),'設定'!$J$12:$J$31,0)),""),""))</f>
        <v/>
      </c>
      <c r="K1273" s="30">
        <f>IF(AND(ISNUMBER(F1273),ISNUMBER(J1273)),ROUND(F1273*J1273,0),IF(ISNUMBER(I1273),I1273,""))</f>
        <v/>
      </c>
      <c r="L1273" s="33" t="n"/>
      <c r="M1273" s="34">
        <f>IF(COUNTA(A1273:B1273,D1273:I1273,L1273)=0,"",IF(B1273="","案件番号がありません",IF(ISNA(MATCH(B1273,'案件'!$A$6:$A$105,0)),"案件シートに無い番号です",IF(NOT(OR(D1273="材料費",D1273="労務費",D1273="外注費",D1273="経費")),"費目を4つから選んでください",IF(K1273="",IF(AND(ISNUMBER(F1273),NOT(ISNUMBER(J1273))),IF(D1273="労務費","単価がありません（設定の作業者名と同じ書き方に）","単価がありません"),IF(AND(ISNUMBER(J1273),NOT(ISNUMBER(F1273))),"数量がありません","金額がありません")),IF(NOT(ISNUMBER(A1273)),"日付がありません（月別集計に入りません）",IF(AND(ISNUMBER(F1273),ISNUMBER(J1273),ISNUMBER(I1273)),"数量×単価を使いました（金額の欄は使っていません）","")))))))</f>
        <v/>
      </c>
      <c r="N1273" s="91">
        <f>IF(AND(B1273&lt;&gt;"",B1273='案件カード'!$C$3),COUNTIF($B$5:B1273,'案件カード'!$C$3),"")</f>
        <v/>
      </c>
      <c r="O1273" s="91">
        <f>IF(ISNUMBER(K1273),IF(B1273="",K1273,IF(AND(ISNUMBER(MATCH(B1273,'案件'!$A$6:$A$105,0)),OR(D1273="材料費",D1273="労務費",D1273="外注費",D1273="経費")),0,K1273)),0)</f>
        <v/>
      </c>
    </row>
    <row r="1274" ht="16" customHeight="1">
      <c r="A1274" s="35" t="n"/>
      <c r="B1274" s="36" t="n"/>
      <c r="C1274" s="37">
        <f>IF(B1274="","",IFERROR(INDEX('案件'!$B$6:$B$105,MATCH(B1274,'案件'!$A$6:$A$105,0))&amp;"","（案件シートに無い番号）"))</f>
        <v/>
      </c>
      <c r="D1274" s="36" t="n"/>
      <c r="E1274" s="38" t="n"/>
      <c r="F1274" s="39" t="n"/>
      <c r="G1274" s="36" t="n"/>
      <c r="H1274" s="40" t="n"/>
      <c r="I1274" s="40" t="n"/>
      <c r="J1274" s="41">
        <f>IF(ISNUMBER(H1274),H1274,IF(AND(D1274="労務費",TRIM(E1274)&lt;&gt;""),IFERROR(INDEX('設定'!$G$12:$G$31,MATCH(TRIM(E1274),'設定'!$J$12:$J$31,0)),""),""))</f>
        <v/>
      </c>
      <c r="K1274" s="30">
        <f>IF(AND(ISNUMBER(F1274),ISNUMBER(J1274)),ROUND(F1274*J1274,0),IF(ISNUMBER(I1274),I1274,""))</f>
        <v/>
      </c>
      <c r="L1274" s="33" t="n"/>
      <c r="M1274" s="34">
        <f>IF(COUNTA(A1274:B1274,D1274:I1274,L1274)=0,"",IF(B1274="","案件番号がありません",IF(ISNA(MATCH(B1274,'案件'!$A$6:$A$105,0)),"案件シートに無い番号です",IF(NOT(OR(D1274="材料費",D1274="労務費",D1274="外注費",D1274="経費")),"費目を4つから選んでください",IF(K1274="",IF(AND(ISNUMBER(F1274),NOT(ISNUMBER(J1274))),IF(D1274="労務費","単価がありません（設定の作業者名と同じ書き方に）","単価がありません"),IF(AND(ISNUMBER(J1274),NOT(ISNUMBER(F1274))),"数量がありません","金額がありません")),IF(NOT(ISNUMBER(A1274)),"日付がありません（月別集計に入りません）",IF(AND(ISNUMBER(F1274),ISNUMBER(J1274),ISNUMBER(I1274)),"数量×単価を使いました（金額の欄は使っていません）","")))))))</f>
        <v/>
      </c>
      <c r="N1274" s="91">
        <f>IF(AND(B1274&lt;&gt;"",B1274='案件カード'!$C$3),COUNTIF($B$5:B1274,'案件カード'!$C$3),"")</f>
        <v/>
      </c>
      <c r="O1274" s="91">
        <f>IF(ISNUMBER(K1274),IF(B1274="",K1274,IF(AND(ISNUMBER(MATCH(B1274,'案件'!$A$6:$A$105,0)),OR(D1274="材料費",D1274="労務費",D1274="外注費",D1274="経費")),0,K1274)),0)</f>
        <v/>
      </c>
    </row>
    <row r="1275" ht="16" customHeight="1">
      <c r="A1275" s="35" t="n"/>
      <c r="B1275" s="36" t="n"/>
      <c r="C1275" s="37">
        <f>IF(B1275="","",IFERROR(INDEX('案件'!$B$6:$B$105,MATCH(B1275,'案件'!$A$6:$A$105,0))&amp;"","（案件シートに無い番号）"))</f>
        <v/>
      </c>
      <c r="D1275" s="36" t="n"/>
      <c r="E1275" s="38" t="n"/>
      <c r="F1275" s="39" t="n"/>
      <c r="G1275" s="36" t="n"/>
      <c r="H1275" s="40" t="n"/>
      <c r="I1275" s="40" t="n"/>
      <c r="J1275" s="41">
        <f>IF(ISNUMBER(H1275),H1275,IF(AND(D1275="労務費",TRIM(E1275)&lt;&gt;""),IFERROR(INDEX('設定'!$G$12:$G$31,MATCH(TRIM(E1275),'設定'!$J$12:$J$31,0)),""),""))</f>
        <v/>
      </c>
      <c r="K1275" s="30">
        <f>IF(AND(ISNUMBER(F1275),ISNUMBER(J1275)),ROUND(F1275*J1275,0),IF(ISNUMBER(I1275),I1275,""))</f>
        <v/>
      </c>
      <c r="L1275" s="33" t="n"/>
      <c r="M1275" s="34">
        <f>IF(COUNTA(A1275:B1275,D1275:I1275,L1275)=0,"",IF(B1275="","案件番号がありません",IF(ISNA(MATCH(B1275,'案件'!$A$6:$A$105,0)),"案件シートに無い番号です",IF(NOT(OR(D1275="材料費",D1275="労務費",D1275="外注費",D1275="経費")),"費目を4つから選んでください",IF(K1275="",IF(AND(ISNUMBER(F1275),NOT(ISNUMBER(J1275))),IF(D1275="労務費","単価がありません（設定の作業者名と同じ書き方に）","単価がありません"),IF(AND(ISNUMBER(J1275),NOT(ISNUMBER(F1275))),"数量がありません","金額がありません")),IF(NOT(ISNUMBER(A1275)),"日付がありません（月別集計に入りません）",IF(AND(ISNUMBER(F1275),ISNUMBER(J1275),ISNUMBER(I1275)),"数量×単価を使いました（金額の欄は使っていません）","")))))))</f>
        <v/>
      </c>
      <c r="N1275" s="91">
        <f>IF(AND(B1275&lt;&gt;"",B1275='案件カード'!$C$3),COUNTIF($B$5:B1275,'案件カード'!$C$3),"")</f>
        <v/>
      </c>
      <c r="O1275" s="91">
        <f>IF(ISNUMBER(K1275),IF(B1275="",K1275,IF(AND(ISNUMBER(MATCH(B1275,'案件'!$A$6:$A$105,0)),OR(D1275="材料費",D1275="労務費",D1275="外注費",D1275="経費")),0,K1275)),0)</f>
        <v/>
      </c>
    </row>
    <row r="1276" ht="16" customHeight="1">
      <c r="A1276" s="35" t="n"/>
      <c r="B1276" s="36" t="n"/>
      <c r="C1276" s="37">
        <f>IF(B1276="","",IFERROR(INDEX('案件'!$B$6:$B$105,MATCH(B1276,'案件'!$A$6:$A$105,0))&amp;"","（案件シートに無い番号）"))</f>
        <v/>
      </c>
      <c r="D1276" s="36" t="n"/>
      <c r="E1276" s="38" t="n"/>
      <c r="F1276" s="39" t="n"/>
      <c r="G1276" s="36" t="n"/>
      <c r="H1276" s="40" t="n"/>
      <c r="I1276" s="40" t="n"/>
      <c r="J1276" s="41">
        <f>IF(ISNUMBER(H1276),H1276,IF(AND(D1276="労務費",TRIM(E1276)&lt;&gt;""),IFERROR(INDEX('設定'!$G$12:$G$31,MATCH(TRIM(E1276),'設定'!$J$12:$J$31,0)),""),""))</f>
        <v/>
      </c>
      <c r="K1276" s="30">
        <f>IF(AND(ISNUMBER(F1276),ISNUMBER(J1276)),ROUND(F1276*J1276,0),IF(ISNUMBER(I1276),I1276,""))</f>
        <v/>
      </c>
      <c r="L1276" s="33" t="n"/>
      <c r="M1276" s="34">
        <f>IF(COUNTA(A1276:B1276,D1276:I1276,L1276)=0,"",IF(B1276="","案件番号がありません",IF(ISNA(MATCH(B1276,'案件'!$A$6:$A$105,0)),"案件シートに無い番号です",IF(NOT(OR(D1276="材料費",D1276="労務費",D1276="外注費",D1276="経費")),"費目を4つから選んでください",IF(K1276="",IF(AND(ISNUMBER(F1276),NOT(ISNUMBER(J1276))),IF(D1276="労務費","単価がありません（設定の作業者名と同じ書き方に）","単価がありません"),IF(AND(ISNUMBER(J1276),NOT(ISNUMBER(F1276))),"数量がありません","金額がありません")),IF(NOT(ISNUMBER(A1276)),"日付がありません（月別集計に入りません）",IF(AND(ISNUMBER(F1276),ISNUMBER(J1276),ISNUMBER(I1276)),"数量×単価を使いました（金額の欄は使っていません）","")))))))</f>
        <v/>
      </c>
      <c r="N1276" s="91">
        <f>IF(AND(B1276&lt;&gt;"",B1276='案件カード'!$C$3),COUNTIF($B$5:B1276,'案件カード'!$C$3),"")</f>
        <v/>
      </c>
      <c r="O1276" s="91">
        <f>IF(ISNUMBER(K1276),IF(B1276="",K1276,IF(AND(ISNUMBER(MATCH(B1276,'案件'!$A$6:$A$105,0)),OR(D1276="材料費",D1276="労務費",D1276="外注費",D1276="経費")),0,K1276)),0)</f>
        <v/>
      </c>
    </row>
    <row r="1277" ht="16" customHeight="1">
      <c r="A1277" s="35" t="n"/>
      <c r="B1277" s="36" t="n"/>
      <c r="C1277" s="37">
        <f>IF(B1277="","",IFERROR(INDEX('案件'!$B$6:$B$105,MATCH(B1277,'案件'!$A$6:$A$105,0))&amp;"","（案件シートに無い番号）"))</f>
        <v/>
      </c>
      <c r="D1277" s="36" t="n"/>
      <c r="E1277" s="38" t="n"/>
      <c r="F1277" s="39" t="n"/>
      <c r="G1277" s="36" t="n"/>
      <c r="H1277" s="40" t="n"/>
      <c r="I1277" s="40" t="n"/>
      <c r="J1277" s="41">
        <f>IF(ISNUMBER(H1277),H1277,IF(AND(D1277="労務費",TRIM(E1277)&lt;&gt;""),IFERROR(INDEX('設定'!$G$12:$G$31,MATCH(TRIM(E1277),'設定'!$J$12:$J$31,0)),""),""))</f>
        <v/>
      </c>
      <c r="K1277" s="30">
        <f>IF(AND(ISNUMBER(F1277),ISNUMBER(J1277)),ROUND(F1277*J1277,0),IF(ISNUMBER(I1277),I1277,""))</f>
        <v/>
      </c>
      <c r="L1277" s="33" t="n"/>
      <c r="M1277" s="34">
        <f>IF(COUNTA(A1277:B1277,D1277:I1277,L1277)=0,"",IF(B1277="","案件番号がありません",IF(ISNA(MATCH(B1277,'案件'!$A$6:$A$105,0)),"案件シートに無い番号です",IF(NOT(OR(D1277="材料費",D1277="労務費",D1277="外注費",D1277="経費")),"費目を4つから選んでください",IF(K1277="",IF(AND(ISNUMBER(F1277),NOT(ISNUMBER(J1277))),IF(D1277="労務費","単価がありません（設定の作業者名と同じ書き方に）","単価がありません"),IF(AND(ISNUMBER(J1277),NOT(ISNUMBER(F1277))),"数量がありません","金額がありません")),IF(NOT(ISNUMBER(A1277)),"日付がありません（月別集計に入りません）",IF(AND(ISNUMBER(F1277),ISNUMBER(J1277),ISNUMBER(I1277)),"数量×単価を使いました（金額の欄は使っていません）","")))))))</f>
        <v/>
      </c>
      <c r="N1277" s="91">
        <f>IF(AND(B1277&lt;&gt;"",B1277='案件カード'!$C$3),COUNTIF($B$5:B1277,'案件カード'!$C$3),"")</f>
        <v/>
      </c>
      <c r="O1277" s="91">
        <f>IF(ISNUMBER(K1277),IF(B1277="",K1277,IF(AND(ISNUMBER(MATCH(B1277,'案件'!$A$6:$A$105,0)),OR(D1277="材料費",D1277="労務費",D1277="外注費",D1277="経費")),0,K1277)),0)</f>
        <v/>
      </c>
    </row>
    <row r="1278" ht="16" customHeight="1">
      <c r="A1278" s="35" t="n"/>
      <c r="B1278" s="36" t="n"/>
      <c r="C1278" s="37">
        <f>IF(B1278="","",IFERROR(INDEX('案件'!$B$6:$B$105,MATCH(B1278,'案件'!$A$6:$A$105,0))&amp;"","（案件シートに無い番号）"))</f>
        <v/>
      </c>
      <c r="D1278" s="36" t="n"/>
      <c r="E1278" s="38" t="n"/>
      <c r="F1278" s="39" t="n"/>
      <c r="G1278" s="36" t="n"/>
      <c r="H1278" s="40" t="n"/>
      <c r="I1278" s="40" t="n"/>
      <c r="J1278" s="41">
        <f>IF(ISNUMBER(H1278),H1278,IF(AND(D1278="労務費",TRIM(E1278)&lt;&gt;""),IFERROR(INDEX('設定'!$G$12:$G$31,MATCH(TRIM(E1278),'設定'!$J$12:$J$31,0)),""),""))</f>
        <v/>
      </c>
      <c r="K1278" s="30">
        <f>IF(AND(ISNUMBER(F1278),ISNUMBER(J1278)),ROUND(F1278*J1278,0),IF(ISNUMBER(I1278),I1278,""))</f>
        <v/>
      </c>
      <c r="L1278" s="33" t="n"/>
      <c r="M1278" s="34">
        <f>IF(COUNTA(A1278:B1278,D1278:I1278,L1278)=0,"",IF(B1278="","案件番号がありません",IF(ISNA(MATCH(B1278,'案件'!$A$6:$A$105,0)),"案件シートに無い番号です",IF(NOT(OR(D1278="材料費",D1278="労務費",D1278="外注費",D1278="経費")),"費目を4つから選んでください",IF(K1278="",IF(AND(ISNUMBER(F1278),NOT(ISNUMBER(J1278))),IF(D1278="労務費","単価がありません（設定の作業者名と同じ書き方に）","単価がありません"),IF(AND(ISNUMBER(J1278),NOT(ISNUMBER(F1278))),"数量がありません","金額がありません")),IF(NOT(ISNUMBER(A1278)),"日付がありません（月別集計に入りません）",IF(AND(ISNUMBER(F1278),ISNUMBER(J1278),ISNUMBER(I1278)),"数量×単価を使いました（金額の欄は使っていません）","")))))))</f>
        <v/>
      </c>
      <c r="N1278" s="91">
        <f>IF(AND(B1278&lt;&gt;"",B1278='案件カード'!$C$3),COUNTIF($B$5:B1278,'案件カード'!$C$3),"")</f>
        <v/>
      </c>
      <c r="O1278" s="91">
        <f>IF(ISNUMBER(K1278),IF(B1278="",K1278,IF(AND(ISNUMBER(MATCH(B1278,'案件'!$A$6:$A$105,0)),OR(D1278="材料費",D1278="労務費",D1278="外注費",D1278="経費")),0,K1278)),0)</f>
        <v/>
      </c>
    </row>
    <row r="1279" ht="16" customHeight="1">
      <c r="A1279" s="35" t="n"/>
      <c r="B1279" s="36" t="n"/>
      <c r="C1279" s="37">
        <f>IF(B1279="","",IFERROR(INDEX('案件'!$B$6:$B$105,MATCH(B1279,'案件'!$A$6:$A$105,0))&amp;"","（案件シートに無い番号）"))</f>
        <v/>
      </c>
      <c r="D1279" s="36" t="n"/>
      <c r="E1279" s="38" t="n"/>
      <c r="F1279" s="39" t="n"/>
      <c r="G1279" s="36" t="n"/>
      <c r="H1279" s="40" t="n"/>
      <c r="I1279" s="40" t="n"/>
      <c r="J1279" s="41">
        <f>IF(ISNUMBER(H1279),H1279,IF(AND(D1279="労務費",TRIM(E1279)&lt;&gt;""),IFERROR(INDEX('設定'!$G$12:$G$31,MATCH(TRIM(E1279),'設定'!$J$12:$J$31,0)),""),""))</f>
        <v/>
      </c>
      <c r="K1279" s="30">
        <f>IF(AND(ISNUMBER(F1279),ISNUMBER(J1279)),ROUND(F1279*J1279,0),IF(ISNUMBER(I1279),I1279,""))</f>
        <v/>
      </c>
      <c r="L1279" s="33" t="n"/>
      <c r="M1279" s="34">
        <f>IF(COUNTA(A1279:B1279,D1279:I1279,L1279)=0,"",IF(B1279="","案件番号がありません",IF(ISNA(MATCH(B1279,'案件'!$A$6:$A$105,0)),"案件シートに無い番号です",IF(NOT(OR(D1279="材料費",D1279="労務費",D1279="外注費",D1279="経費")),"費目を4つから選んでください",IF(K1279="",IF(AND(ISNUMBER(F1279),NOT(ISNUMBER(J1279))),IF(D1279="労務費","単価がありません（設定の作業者名と同じ書き方に）","単価がありません"),IF(AND(ISNUMBER(J1279),NOT(ISNUMBER(F1279))),"数量がありません","金額がありません")),IF(NOT(ISNUMBER(A1279)),"日付がありません（月別集計に入りません）",IF(AND(ISNUMBER(F1279),ISNUMBER(J1279),ISNUMBER(I1279)),"数量×単価を使いました（金額の欄は使っていません）","")))))))</f>
        <v/>
      </c>
      <c r="N1279" s="91">
        <f>IF(AND(B1279&lt;&gt;"",B1279='案件カード'!$C$3),COUNTIF($B$5:B1279,'案件カード'!$C$3),"")</f>
        <v/>
      </c>
      <c r="O1279" s="91">
        <f>IF(ISNUMBER(K1279),IF(B1279="",K1279,IF(AND(ISNUMBER(MATCH(B1279,'案件'!$A$6:$A$105,0)),OR(D1279="材料費",D1279="労務費",D1279="外注費",D1279="経費")),0,K1279)),0)</f>
        <v/>
      </c>
    </row>
    <row r="1280" ht="16" customHeight="1">
      <c r="A1280" s="35" t="n"/>
      <c r="B1280" s="36" t="n"/>
      <c r="C1280" s="37">
        <f>IF(B1280="","",IFERROR(INDEX('案件'!$B$6:$B$105,MATCH(B1280,'案件'!$A$6:$A$105,0))&amp;"","（案件シートに無い番号）"))</f>
        <v/>
      </c>
      <c r="D1280" s="36" t="n"/>
      <c r="E1280" s="38" t="n"/>
      <c r="F1280" s="39" t="n"/>
      <c r="G1280" s="36" t="n"/>
      <c r="H1280" s="40" t="n"/>
      <c r="I1280" s="40" t="n"/>
      <c r="J1280" s="41">
        <f>IF(ISNUMBER(H1280),H1280,IF(AND(D1280="労務費",TRIM(E1280)&lt;&gt;""),IFERROR(INDEX('設定'!$G$12:$G$31,MATCH(TRIM(E1280),'設定'!$J$12:$J$31,0)),""),""))</f>
        <v/>
      </c>
      <c r="K1280" s="30">
        <f>IF(AND(ISNUMBER(F1280),ISNUMBER(J1280)),ROUND(F1280*J1280,0),IF(ISNUMBER(I1280),I1280,""))</f>
        <v/>
      </c>
      <c r="L1280" s="33" t="n"/>
      <c r="M1280" s="34">
        <f>IF(COUNTA(A1280:B1280,D1280:I1280,L1280)=0,"",IF(B1280="","案件番号がありません",IF(ISNA(MATCH(B1280,'案件'!$A$6:$A$105,0)),"案件シートに無い番号です",IF(NOT(OR(D1280="材料費",D1280="労務費",D1280="外注費",D1280="経費")),"費目を4つから選んでください",IF(K1280="",IF(AND(ISNUMBER(F1280),NOT(ISNUMBER(J1280))),IF(D1280="労務費","単価がありません（設定の作業者名と同じ書き方に）","単価がありません"),IF(AND(ISNUMBER(J1280),NOT(ISNUMBER(F1280))),"数量がありません","金額がありません")),IF(NOT(ISNUMBER(A1280)),"日付がありません（月別集計に入りません）",IF(AND(ISNUMBER(F1280),ISNUMBER(J1280),ISNUMBER(I1280)),"数量×単価を使いました（金額の欄は使っていません）","")))))))</f>
        <v/>
      </c>
      <c r="N1280" s="91">
        <f>IF(AND(B1280&lt;&gt;"",B1280='案件カード'!$C$3),COUNTIF($B$5:B1280,'案件カード'!$C$3),"")</f>
        <v/>
      </c>
      <c r="O1280" s="91">
        <f>IF(ISNUMBER(K1280),IF(B1280="",K1280,IF(AND(ISNUMBER(MATCH(B1280,'案件'!$A$6:$A$105,0)),OR(D1280="材料費",D1280="労務費",D1280="外注費",D1280="経費")),0,K1280)),0)</f>
        <v/>
      </c>
    </row>
    <row r="1281" ht="16" customHeight="1">
      <c r="A1281" s="35" t="n"/>
      <c r="B1281" s="36" t="n"/>
      <c r="C1281" s="37">
        <f>IF(B1281="","",IFERROR(INDEX('案件'!$B$6:$B$105,MATCH(B1281,'案件'!$A$6:$A$105,0))&amp;"","（案件シートに無い番号）"))</f>
        <v/>
      </c>
      <c r="D1281" s="36" t="n"/>
      <c r="E1281" s="38" t="n"/>
      <c r="F1281" s="39" t="n"/>
      <c r="G1281" s="36" t="n"/>
      <c r="H1281" s="40" t="n"/>
      <c r="I1281" s="40" t="n"/>
      <c r="J1281" s="41">
        <f>IF(ISNUMBER(H1281),H1281,IF(AND(D1281="労務費",TRIM(E1281)&lt;&gt;""),IFERROR(INDEX('設定'!$G$12:$G$31,MATCH(TRIM(E1281),'設定'!$J$12:$J$31,0)),""),""))</f>
        <v/>
      </c>
      <c r="K1281" s="30">
        <f>IF(AND(ISNUMBER(F1281),ISNUMBER(J1281)),ROUND(F1281*J1281,0),IF(ISNUMBER(I1281),I1281,""))</f>
        <v/>
      </c>
      <c r="L1281" s="33" t="n"/>
      <c r="M1281" s="34">
        <f>IF(COUNTA(A1281:B1281,D1281:I1281,L1281)=0,"",IF(B1281="","案件番号がありません",IF(ISNA(MATCH(B1281,'案件'!$A$6:$A$105,0)),"案件シートに無い番号です",IF(NOT(OR(D1281="材料費",D1281="労務費",D1281="外注費",D1281="経費")),"費目を4つから選んでください",IF(K1281="",IF(AND(ISNUMBER(F1281),NOT(ISNUMBER(J1281))),IF(D1281="労務費","単価がありません（設定の作業者名と同じ書き方に）","単価がありません"),IF(AND(ISNUMBER(J1281),NOT(ISNUMBER(F1281))),"数量がありません","金額がありません")),IF(NOT(ISNUMBER(A1281)),"日付がありません（月別集計に入りません）",IF(AND(ISNUMBER(F1281),ISNUMBER(J1281),ISNUMBER(I1281)),"数量×単価を使いました（金額の欄は使っていません）","")))))))</f>
        <v/>
      </c>
      <c r="N1281" s="91">
        <f>IF(AND(B1281&lt;&gt;"",B1281='案件カード'!$C$3),COUNTIF($B$5:B1281,'案件カード'!$C$3),"")</f>
        <v/>
      </c>
      <c r="O1281" s="91">
        <f>IF(ISNUMBER(K1281),IF(B1281="",K1281,IF(AND(ISNUMBER(MATCH(B1281,'案件'!$A$6:$A$105,0)),OR(D1281="材料費",D1281="労務費",D1281="外注費",D1281="経費")),0,K1281)),0)</f>
        <v/>
      </c>
    </row>
    <row r="1282" ht="16" customHeight="1">
      <c r="A1282" s="35" t="n"/>
      <c r="B1282" s="36" t="n"/>
      <c r="C1282" s="37">
        <f>IF(B1282="","",IFERROR(INDEX('案件'!$B$6:$B$105,MATCH(B1282,'案件'!$A$6:$A$105,0))&amp;"","（案件シートに無い番号）"))</f>
        <v/>
      </c>
      <c r="D1282" s="36" t="n"/>
      <c r="E1282" s="38" t="n"/>
      <c r="F1282" s="39" t="n"/>
      <c r="G1282" s="36" t="n"/>
      <c r="H1282" s="40" t="n"/>
      <c r="I1282" s="40" t="n"/>
      <c r="J1282" s="41">
        <f>IF(ISNUMBER(H1282),H1282,IF(AND(D1282="労務費",TRIM(E1282)&lt;&gt;""),IFERROR(INDEX('設定'!$G$12:$G$31,MATCH(TRIM(E1282),'設定'!$J$12:$J$31,0)),""),""))</f>
        <v/>
      </c>
      <c r="K1282" s="30">
        <f>IF(AND(ISNUMBER(F1282),ISNUMBER(J1282)),ROUND(F1282*J1282,0),IF(ISNUMBER(I1282),I1282,""))</f>
        <v/>
      </c>
      <c r="L1282" s="33" t="n"/>
      <c r="M1282" s="34">
        <f>IF(COUNTA(A1282:B1282,D1282:I1282,L1282)=0,"",IF(B1282="","案件番号がありません",IF(ISNA(MATCH(B1282,'案件'!$A$6:$A$105,0)),"案件シートに無い番号です",IF(NOT(OR(D1282="材料費",D1282="労務費",D1282="外注費",D1282="経費")),"費目を4つから選んでください",IF(K1282="",IF(AND(ISNUMBER(F1282),NOT(ISNUMBER(J1282))),IF(D1282="労務費","単価がありません（設定の作業者名と同じ書き方に）","単価がありません"),IF(AND(ISNUMBER(J1282),NOT(ISNUMBER(F1282))),"数量がありません","金額がありません")),IF(NOT(ISNUMBER(A1282)),"日付がありません（月別集計に入りません）",IF(AND(ISNUMBER(F1282),ISNUMBER(J1282),ISNUMBER(I1282)),"数量×単価を使いました（金額の欄は使っていません）","")))))))</f>
        <v/>
      </c>
      <c r="N1282" s="91">
        <f>IF(AND(B1282&lt;&gt;"",B1282='案件カード'!$C$3),COUNTIF($B$5:B1282,'案件カード'!$C$3),"")</f>
        <v/>
      </c>
      <c r="O1282" s="91">
        <f>IF(ISNUMBER(K1282),IF(B1282="",K1282,IF(AND(ISNUMBER(MATCH(B1282,'案件'!$A$6:$A$105,0)),OR(D1282="材料費",D1282="労務費",D1282="外注費",D1282="経費")),0,K1282)),0)</f>
        <v/>
      </c>
    </row>
    <row r="1283" ht="16" customHeight="1">
      <c r="A1283" s="35" t="n"/>
      <c r="B1283" s="36" t="n"/>
      <c r="C1283" s="37">
        <f>IF(B1283="","",IFERROR(INDEX('案件'!$B$6:$B$105,MATCH(B1283,'案件'!$A$6:$A$105,0))&amp;"","（案件シートに無い番号）"))</f>
        <v/>
      </c>
      <c r="D1283" s="36" t="n"/>
      <c r="E1283" s="38" t="n"/>
      <c r="F1283" s="39" t="n"/>
      <c r="G1283" s="36" t="n"/>
      <c r="H1283" s="40" t="n"/>
      <c r="I1283" s="40" t="n"/>
      <c r="J1283" s="41">
        <f>IF(ISNUMBER(H1283),H1283,IF(AND(D1283="労務費",TRIM(E1283)&lt;&gt;""),IFERROR(INDEX('設定'!$G$12:$G$31,MATCH(TRIM(E1283),'設定'!$J$12:$J$31,0)),""),""))</f>
        <v/>
      </c>
      <c r="K1283" s="30">
        <f>IF(AND(ISNUMBER(F1283),ISNUMBER(J1283)),ROUND(F1283*J1283,0),IF(ISNUMBER(I1283),I1283,""))</f>
        <v/>
      </c>
      <c r="L1283" s="33" t="n"/>
      <c r="M1283" s="34">
        <f>IF(COUNTA(A1283:B1283,D1283:I1283,L1283)=0,"",IF(B1283="","案件番号がありません",IF(ISNA(MATCH(B1283,'案件'!$A$6:$A$105,0)),"案件シートに無い番号です",IF(NOT(OR(D1283="材料費",D1283="労務費",D1283="外注費",D1283="経費")),"費目を4つから選んでください",IF(K1283="",IF(AND(ISNUMBER(F1283),NOT(ISNUMBER(J1283))),IF(D1283="労務費","単価がありません（設定の作業者名と同じ書き方に）","単価がありません"),IF(AND(ISNUMBER(J1283),NOT(ISNUMBER(F1283))),"数量がありません","金額がありません")),IF(NOT(ISNUMBER(A1283)),"日付がありません（月別集計に入りません）",IF(AND(ISNUMBER(F1283),ISNUMBER(J1283),ISNUMBER(I1283)),"数量×単価を使いました（金額の欄は使っていません）","")))))))</f>
        <v/>
      </c>
      <c r="N1283" s="91">
        <f>IF(AND(B1283&lt;&gt;"",B1283='案件カード'!$C$3),COUNTIF($B$5:B1283,'案件カード'!$C$3),"")</f>
        <v/>
      </c>
      <c r="O1283" s="91">
        <f>IF(ISNUMBER(K1283),IF(B1283="",K1283,IF(AND(ISNUMBER(MATCH(B1283,'案件'!$A$6:$A$105,0)),OR(D1283="材料費",D1283="労務費",D1283="外注費",D1283="経費")),0,K1283)),0)</f>
        <v/>
      </c>
    </row>
    <row r="1284" ht="16" customHeight="1">
      <c r="A1284" s="35" t="n"/>
      <c r="B1284" s="36" t="n"/>
      <c r="C1284" s="37">
        <f>IF(B1284="","",IFERROR(INDEX('案件'!$B$6:$B$105,MATCH(B1284,'案件'!$A$6:$A$105,0))&amp;"","（案件シートに無い番号）"))</f>
        <v/>
      </c>
      <c r="D1284" s="36" t="n"/>
      <c r="E1284" s="38" t="n"/>
      <c r="F1284" s="39" t="n"/>
      <c r="G1284" s="36" t="n"/>
      <c r="H1284" s="40" t="n"/>
      <c r="I1284" s="40" t="n"/>
      <c r="J1284" s="41">
        <f>IF(ISNUMBER(H1284),H1284,IF(AND(D1284="労務費",TRIM(E1284)&lt;&gt;""),IFERROR(INDEX('設定'!$G$12:$G$31,MATCH(TRIM(E1284),'設定'!$J$12:$J$31,0)),""),""))</f>
        <v/>
      </c>
      <c r="K1284" s="30">
        <f>IF(AND(ISNUMBER(F1284),ISNUMBER(J1284)),ROUND(F1284*J1284,0),IF(ISNUMBER(I1284),I1284,""))</f>
        <v/>
      </c>
      <c r="L1284" s="33" t="n"/>
      <c r="M1284" s="34">
        <f>IF(COUNTA(A1284:B1284,D1284:I1284,L1284)=0,"",IF(B1284="","案件番号がありません",IF(ISNA(MATCH(B1284,'案件'!$A$6:$A$105,0)),"案件シートに無い番号です",IF(NOT(OR(D1284="材料費",D1284="労務費",D1284="外注費",D1284="経費")),"費目を4つから選んでください",IF(K1284="",IF(AND(ISNUMBER(F1284),NOT(ISNUMBER(J1284))),IF(D1284="労務費","単価がありません（設定の作業者名と同じ書き方に）","単価がありません"),IF(AND(ISNUMBER(J1284),NOT(ISNUMBER(F1284))),"数量がありません","金額がありません")),IF(NOT(ISNUMBER(A1284)),"日付がありません（月別集計に入りません）",IF(AND(ISNUMBER(F1284),ISNUMBER(J1284),ISNUMBER(I1284)),"数量×単価を使いました（金額の欄は使っていません）","")))))))</f>
        <v/>
      </c>
      <c r="N1284" s="91">
        <f>IF(AND(B1284&lt;&gt;"",B1284='案件カード'!$C$3),COUNTIF($B$5:B1284,'案件カード'!$C$3),"")</f>
        <v/>
      </c>
      <c r="O1284" s="91">
        <f>IF(ISNUMBER(K1284),IF(B1284="",K1284,IF(AND(ISNUMBER(MATCH(B1284,'案件'!$A$6:$A$105,0)),OR(D1284="材料費",D1284="労務費",D1284="外注費",D1284="経費")),0,K1284)),0)</f>
        <v/>
      </c>
    </row>
    <row r="1285" ht="16" customHeight="1">
      <c r="A1285" s="35" t="n"/>
      <c r="B1285" s="36" t="n"/>
      <c r="C1285" s="37">
        <f>IF(B1285="","",IFERROR(INDEX('案件'!$B$6:$B$105,MATCH(B1285,'案件'!$A$6:$A$105,0))&amp;"","（案件シートに無い番号）"))</f>
        <v/>
      </c>
      <c r="D1285" s="36" t="n"/>
      <c r="E1285" s="38" t="n"/>
      <c r="F1285" s="39" t="n"/>
      <c r="G1285" s="36" t="n"/>
      <c r="H1285" s="40" t="n"/>
      <c r="I1285" s="40" t="n"/>
      <c r="J1285" s="41">
        <f>IF(ISNUMBER(H1285),H1285,IF(AND(D1285="労務費",TRIM(E1285)&lt;&gt;""),IFERROR(INDEX('設定'!$G$12:$G$31,MATCH(TRIM(E1285),'設定'!$J$12:$J$31,0)),""),""))</f>
        <v/>
      </c>
      <c r="K1285" s="30">
        <f>IF(AND(ISNUMBER(F1285),ISNUMBER(J1285)),ROUND(F1285*J1285,0),IF(ISNUMBER(I1285),I1285,""))</f>
        <v/>
      </c>
      <c r="L1285" s="33" t="n"/>
      <c r="M1285" s="34">
        <f>IF(COUNTA(A1285:B1285,D1285:I1285,L1285)=0,"",IF(B1285="","案件番号がありません",IF(ISNA(MATCH(B1285,'案件'!$A$6:$A$105,0)),"案件シートに無い番号です",IF(NOT(OR(D1285="材料費",D1285="労務費",D1285="外注費",D1285="経費")),"費目を4つから選んでください",IF(K1285="",IF(AND(ISNUMBER(F1285),NOT(ISNUMBER(J1285))),IF(D1285="労務費","単価がありません（設定の作業者名と同じ書き方に）","単価がありません"),IF(AND(ISNUMBER(J1285),NOT(ISNUMBER(F1285))),"数量がありません","金額がありません")),IF(NOT(ISNUMBER(A1285)),"日付がありません（月別集計に入りません）",IF(AND(ISNUMBER(F1285),ISNUMBER(J1285),ISNUMBER(I1285)),"数量×単価を使いました（金額の欄は使っていません）","")))))))</f>
        <v/>
      </c>
      <c r="N1285" s="91">
        <f>IF(AND(B1285&lt;&gt;"",B1285='案件カード'!$C$3),COUNTIF($B$5:B1285,'案件カード'!$C$3),"")</f>
        <v/>
      </c>
      <c r="O1285" s="91">
        <f>IF(ISNUMBER(K1285),IF(B1285="",K1285,IF(AND(ISNUMBER(MATCH(B1285,'案件'!$A$6:$A$105,0)),OR(D1285="材料費",D1285="労務費",D1285="外注費",D1285="経費")),0,K1285)),0)</f>
        <v/>
      </c>
    </row>
    <row r="1286" ht="16" customHeight="1">
      <c r="A1286" s="35" t="n"/>
      <c r="B1286" s="36" t="n"/>
      <c r="C1286" s="37">
        <f>IF(B1286="","",IFERROR(INDEX('案件'!$B$6:$B$105,MATCH(B1286,'案件'!$A$6:$A$105,0))&amp;"","（案件シートに無い番号）"))</f>
        <v/>
      </c>
      <c r="D1286" s="36" t="n"/>
      <c r="E1286" s="38" t="n"/>
      <c r="F1286" s="39" t="n"/>
      <c r="G1286" s="36" t="n"/>
      <c r="H1286" s="40" t="n"/>
      <c r="I1286" s="40" t="n"/>
      <c r="J1286" s="41">
        <f>IF(ISNUMBER(H1286),H1286,IF(AND(D1286="労務費",TRIM(E1286)&lt;&gt;""),IFERROR(INDEX('設定'!$G$12:$G$31,MATCH(TRIM(E1286),'設定'!$J$12:$J$31,0)),""),""))</f>
        <v/>
      </c>
      <c r="K1286" s="30">
        <f>IF(AND(ISNUMBER(F1286),ISNUMBER(J1286)),ROUND(F1286*J1286,0),IF(ISNUMBER(I1286),I1286,""))</f>
        <v/>
      </c>
      <c r="L1286" s="33" t="n"/>
      <c r="M1286" s="34">
        <f>IF(COUNTA(A1286:B1286,D1286:I1286,L1286)=0,"",IF(B1286="","案件番号がありません",IF(ISNA(MATCH(B1286,'案件'!$A$6:$A$105,0)),"案件シートに無い番号です",IF(NOT(OR(D1286="材料費",D1286="労務費",D1286="外注費",D1286="経費")),"費目を4つから選んでください",IF(K1286="",IF(AND(ISNUMBER(F1286),NOT(ISNUMBER(J1286))),IF(D1286="労務費","単価がありません（設定の作業者名と同じ書き方に）","単価がありません"),IF(AND(ISNUMBER(J1286),NOT(ISNUMBER(F1286))),"数量がありません","金額がありません")),IF(NOT(ISNUMBER(A1286)),"日付がありません（月別集計に入りません）",IF(AND(ISNUMBER(F1286),ISNUMBER(J1286),ISNUMBER(I1286)),"数量×単価を使いました（金額の欄は使っていません）","")))))))</f>
        <v/>
      </c>
      <c r="N1286" s="91">
        <f>IF(AND(B1286&lt;&gt;"",B1286='案件カード'!$C$3),COUNTIF($B$5:B1286,'案件カード'!$C$3),"")</f>
        <v/>
      </c>
      <c r="O1286" s="91">
        <f>IF(ISNUMBER(K1286),IF(B1286="",K1286,IF(AND(ISNUMBER(MATCH(B1286,'案件'!$A$6:$A$105,0)),OR(D1286="材料費",D1286="労務費",D1286="外注費",D1286="経費")),0,K1286)),0)</f>
        <v/>
      </c>
    </row>
    <row r="1287" ht="16" customHeight="1">
      <c r="A1287" s="35" t="n"/>
      <c r="B1287" s="36" t="n"/>
      <c r="C1287" s="37">
        <f>IF(B1287="","",IFERROR(INDEX('案件'!$B$6:$B$105,MATCH(B1287,'案件'!$A$6:$A$105,0))&amp;"","（案件シートに無い番号）"))</f>
        <v/>
      </c>
      <c r="D1287" s="36" t="n"/>
      <c r="E1287" s="38" t="n"/>
      <c r="F1287" s="39" t="n"/>
      <c r="G1287" s="36" t="n"/>
      <c r="H1287" s="40" t="n"/>
      <c r="I1287" s="40" t="n"/>
      <c r="J1287" s="41">
        <f>IF(ISNUMBER(H1287),H1287,IF(AND(D1287="労務費",TRIM(E1287)&lt;&gt;""),IFERROR(INDEX('設定'!$G$12:$G$31,MATCH(TRIM(E1287),'設定'!$J$12:$J$31,0)),""),""))</f>
        <v/>
      </c>
      <c r="K1287" s="30">
        <f>IF(AND(ISNUMBER(F1287),ISNUMBER(J1287)),ROUND(F1287*J1287,0),IF(ISNUMBER(I1287),I1287,""))</f>
        <v/>
      </c>
      <c r="L1287" s="33" t="n"/>
      <c r="M1287" s="34">
        <f>IF(COUNTA(A1287:B1287,D1287:I1287,L1287)=0,"",IF(B1287="","案件番号がありません",IF(ISNA(MATCH(B1287,'案件'!$A$6:$A$105,0)),"案件シートに無い番号です",IF(NOT(OR(D1287="材料費",D1287="労務費",D1287="外注費",D1287="経費")),"費目を4つから選んでください",IF(K1287="",IF(AND(ISNUMBER(F1287),NOT(ISNUMBER(J1287))),IF(D1287="労務費","単価がありません（設定の作業者名と同じ書き方に）","単価がありません"),IF(AND(ISNUMBER(J1287),NOT(ISNUMBER(F1287))),"数量がありません","金額がありません")),IF(NOT(ISNUMBER(A1287)),"日付がありません（月別集計に入りません）",IF(AND(ISNUMBER(F1287),ISNUMBER(J1287),ISNUMBER(I1287)),"数量×単価を使いました（金額の欄は使っていません）","")))))))</f>
        <v/>
      </c>
      <c r="N1287" s="91">
        <f>IF(AND(B1287&lt;&gt;"",B1287='案件カード'!$C$3),COUNTIF($B$5:B1287,'案件カード'!$C$3),"")</f>
        <v/>
      </c>
      <c r="O1287" s="91">
        <f>IF(ISNUMBER(K1287),IF(B1287="",K1287,IF(AND(ISNUMBER(MATCH(B1287,'案件'!$A$6:$A$105,0)),OR(D1287="材料費",D1287="労務費",D1287="外注費",D1287="経費")),0,K1287)),0)</f>
        <v/>
      </c>
    </row>
    <row r="1288" ht="16" customHeight="1">
      <c r="A1288" s="35" t="n"/>
      <c r="B1288" s="36" t="n"/>
      <c r="C1288" s="37">
        <f>IF(B1288="","",IFERROR(INDEX('案件'!$B$6:$B$105,MATCH(B1288,'案件'!$A$6:$A$105,0))&amp;"","（案件シートに無い番号）"))</f>
        <v/>
      </c>
      <c r="D1288" s="36" t="n"/>
      <c r="E1288" s="38" t="n"/>
      <c r="F1288" s="39" t="n"/>
      <c r="G1288" s="36" t="n"/>
      <c r="H1288" s="40" t="n"/>
      <c r="I1288" s="40" t="n"/>
      <c r="J1288" s="41">
        <f>IF(ISNUMBER(H1288),H1288,IF(AND(D1288="労務費",TRIM(E1288)&lt;&gt;""),IFERROR(INDEX('設定'!$G$12:$G$31,MATCH(TRIM(E1288),'設定'!$J$12:$J$31,0)),""),""))</f>
        <v/>
      </c>
      <c r="K1288" s="30">
        <f>IF(AND(ISNUMBER(F1288),ISNUMBER(J1288)),ROUND(F1288*J1288,0),IF(ISNUMBER(I1288),I1288,""))</f>
        <v/>
      </c>
      <c r="L1288" s="33" t="n"/>
      <c r="M1288" s="34">
        <f>IF(COUNTA(A1288:B1288,D1288:I1288,L1288)=0,"",IF(B1288="","案件番号がありません",IF(ISNA(MATCH(B1288,'案件'!$A$6:$A$105,0)),"案件シートに無い番号です",IF(NOT(OR(D1288="材料費",D1288="労務費",D1288="外注費",D1288="経費")),"費目を4つから選んでください",IF(K1288="",IF(AND(ISNUMBER(F1288),NOT(ISNUMBER(J1288))),IF(D1288="労務費","単価がありません（設定の作業者名と同じ書き方に）","単価がありません"),IF(AND(ISNUMBER(J1288),NOT(ISNUMBER(F1288))),"数量がありません","金額がありません")),IF(NOT(ISNUMBER(A1288)),"日付がありません（月別集計に入りません）",IF(AND(ISNUMBER(F1288),ISNUMBER(J1288),ISNUMBER(I1288)),"数量×単価を使いました（金額の欄は使っていません）","")))))))</f>
        <v/>
      </c>
      <c r="N1288" s="91">
        <f>IF(AND(B1288&lt;&gt;"",B1288='案件カード'!$C$3),COUNTIF($B$5:B1288,'案件カード'!$C$3),"")</f>
        <v/>
      </c>
      <c r="O1288" s="91">
        <f>IF(ISNUMBER(K1288),IF(B1288="",K1288,IF(AND(ISNUMBER(MATCH(B1288,'案件'!$A$6:$A$105,0)),OR(D1288="材料費",D1288="労務費",D1288="外注費",D1288="経費")),0,K1288)),0)</f>
        <v/>
      </c>
    </row>
    <row r="1289" ht="16" customHeight="1">
      <c r="A1289" s="35" t="n"/>
      <c r="B1289" s="36" t="n"/>
      <c r="C1289" s="37">
        <f>IF(B1289="","",IFERROR(INDEX('案件'!$B$6:$B$105,MATCH(B1289,'案件'!$A$6:$A$105,0))&amp;"","（案件シートに無い番号）"))</f>
        <v/>
      </c>
      <c r="D1289" s="36" t="n"/>
      <c r="E1289" s="38" t="n"/>
      <c r="F1289" s="39" t="n"/>
      <c r="G1289" s="36" t="n"/>
      <c r="H1289" s="40" t="n"/>
      <c r="I1289" s="40" t="n"/>
      <c r="J1289" s="41">
        <f>IF(ISNUMBER(H1289),H1289,IF(AND(D1289="労務費",TRIM(E1289)&lt;&gt;""),IFERROR(INDEX('設定'!$G$12:$G$31,MATCH(TRIM(E1289),'設定'!$J$12:$J$31,0)),""),""))</f>
        <v/>
      </c>
      <c r="K1289" s="30">
        <f>IF(AND(ISNUMBER(F1289),ISNUMBER(J1289)),ROUND(F1289*J1289,0),IF(ISNUMBER(I1289),I1289,""))</f>
        <v/>
      </c>
      <c r="L1289" s="33" t="n"/>
      <c r="M1289" s="34">
        <f>IF(COUNTA(A1289:B1289,D1289:I1289,L1289)=0,"",IF(B1289="","案件番号がありません",IF(ISNA(MATCH(B1289,'案件'!$A$6:$A$105,0)),"案件シートに無い番号です",IF(NOT(OR(D1289="材料費",D1289="労務費",D1289="外注費",D1289="経費")),"費目を4つから選んでください",IF(K1289="",IF(AND(ISNUMBER(F1289),NOT(ISNUMBER(J1289))),IF(D1289="労務費","単価がありません（設定の作業者名と同じ書き方に）","単価がありません"),IF(AND(ISNUMBER(J1289),NOT(ISNUMBER(F1289))),"数量がありません","金額がありません")),IF(NOT(ISNUMBER(A1289)),"日付がありません（月別集計に入りません）",IF(AND(ISNUMBER(F1289),ISNUMBER(J1289),ISNUMBER(I1289)),"数量×単価を使いました（金額の欄は使っていません）","")))))))</f>
        <v/>
      </c>
      <c r="N1289" s="91">
        <f>IF(AND(B1289&lt;&gt;"",B1289='案件カード'!$C$3),COUNTIF($B$5:B1289,'案件カード'!$C$3),"")</f>
        <v/>
      </c>
      <c r="O1289" s="91">
        <f>IF(ISNUMBER(K1289),IF(B1289="",K1289,IF(AND(ISNUMBER(MATCH(B1289,'案件'!$A$6:$A$105,0)),OR(D1289="材料費",D1289="労務費",D1289="外注費",D1289="経費")),0,K1289)),0)</f>
        <v/>
      </c>
    </row>
    <row r="1290" ht="16" customHeight="1">
      <c r="A1290" s="35" t="n"/>
      <c r="B1290" s="36" t="n"/>
      <c r="C1290" s="37">
        <f>IF(B1290="","",IFERROR(INDEX('案件'!$B$6:$B$105,MATCH(B1290,'案件'!$A$6:$A$105,0))&amp;"","（案件シートに無い番号）"))</f>
        <v/>
      </c>
      <c r="D1290" s="36" t="n"/>
      <c r="E1290" s="38" t="n"/>
      <c r="F1290" s="39" t="n"/>
      <c r="G1290" s="36" t="n"/>
      <c r="H1290" s="40" t="n"/>
      <c r="I1290" s="40" t="n"/>
      <c r="J1290" s="41">
        <f>IF(ISNUMBER(H1290),H1290,IF(AND(D1290="労務費",TRIM(E1290)&lt;&gt;""),IFERROR(INDEX('設定'!$G$12:$G$31,MATCH(TRIM(E1290),'設定'!$J$12:$J$31,0)),""),""))</f>
        <v/>
      </c>
      <c r="K1290" s="30">
        <f>IF(AND(ISNUMBER(F1290),ISNUMBER(J1290)),ROUND(F1290*J1290,0),IF(ISNUMBER(I1290),I1290,""))</f>
        <v/>
      </c>
      <c r="L1290" s="33" t="n"/>
      <c r="M1290" s="34">
        <f>IF(COUNTA(A1290:B1290,D1290:I1290,L1290)=0,"",IF(B1290="","案件番号がありません",IF(ISNA(MATCH(B1290,'案件'!$A$6:$A$105,0)),"案件シートに無い番号です",IF(NOT(OR(D1290="材料費",D1290="労務費",D1290="外注費",D1290="経費")),"費目を4つから選んでください",IF(K1290="",IF(AND(ISNUMBER(F1290),NOT(ISNUMBER(J1290))),IF(D1290="労務費","単価がありません（設定の作業者名と同じ書き方に）","単価がありません"),IF(AND(ISNUMBER(J1290),NOT(ISNUMBER(F1290))),"数量がありません","金額がありません")),IF(NOT(ISNUMBER(A1290)),"日付がありません（月別集計に入りません）",IF(AND(ISNUMBER(F1290),ISNUMBER(J1290),ISNUMBER(I1290)),"数量×単価を使いました（金額の欄は使っていません）","")))))))</f>
        <v/>
      </c>
      <c r="N1290" s="91">
        <f>IF(AND(B1290&lt;&gt;"",B1290='案件カード'!$C$3),COUNTIF($B$5:B1290,'案件カード'!$C$3),"")</f>
        <v/>
      </c>
      <c r="O1290" s="91">
        <f>IF(ISNUMBER(K1290),IF(B1290="",K1290,IF(AND(ISNUMBER(MATCH(B1290,'案件'!$A$6:$A$105,0)),OR(D1290="材料費",D1290="労務費",D1290="外注費",D1290="経費")),0,K1290)),0)</f>
        <v/>
      </c>
    </row>
    <row r="1291" ht="16" customHeight="1">
      <c r="A1291" s="35" t="n"/>
      <c r="B1291" s="36" t="n"/>
      <c r="C1291" s="37">
        <f>IF(B1291="","",IFERROR(INDEX('案件'!$B$6:$B$105,MATCH(B1291,'案件'!$A$6:$A$105,0))&amp;"","（案件シートに無い番号）"))</f>
        <v/>
      </c>
      <c r="D1291" s="36" t="n"/>
      <c r="E1291" s="38" t="n"/>
      <c r="F1291" s="39" t="n"/>
      <c r="G1291" s="36" t="n"/>
      <c r="H1291" s="40" t="n"/>
      <c r="I1291" s="40" t="n"/>
      <c r="J1291" s="41">
        <f>IF(ISNUMBER(H1291),H1291,IF(AND(D1291="労務費",TRIM(E1291)&lt;&gt;""),IFERROR(INDEX('設定'!$G$12:$G$31,MATCH(TRIM(E1291),'設定'!$J$12:$J$31,0)),""),""))</f>
        <v/>
      </c>
      <c r="K1291" s="30">
        <f>IF(AND(ISNUMBER(F1291),ISNUMBER(J1291)),ROUND(F1291*J1291,0),IF(ISNUMBER(I1291),I1291,""))</f>
        <v/>
      </c>
      <c r="L1291" s="33" t="n"/>
      <c r="M1291" s="34">
        <f>IF(COUNTA(A1291:B1291,D1291:I1291,L1291)=0,"",IF(B1291="","案件番号がありません",IF(ISNA(MATCH(B1291,'案件'!$A$6:$A$105,0)),"案件シートに無い番号です",IF(NOT(OR(D1291="材料費",D1291="労務費",D1291="外注費",D1291="経費")),"費目を4つから選んでください",IF(K1291="",IF(AND(ISNUMBER(F1291),NOT(ISNUMBER(J1291))),IF(D1291="労務費","単価がありません（設定の作業者名と同じ書き方に）","単価がありません"),IF(AND(ISNUMBER(J1291),NOT(ISNUMBER(F1291))),"数量がありません","金額がありません")),IF(NOT(ISNUMBER(A1291)),"日付がありません（月別集計に入りません）",IF(AND(ISNUMBER(F1291),ISNUMBER(J1291),ISNUMBER(I1291)),"数量×単価を使いました（金額の欄は使っていません）","")))))))</f>
        <v/>
      </c>
      <c r="N1291" s="91">
        <f>IF(AND(B1291&lt;&gt;"",B1291='案件カード'!$C$3),COUNTIF($B$5:B1291,'案件カード'!$C$3),"")</f>
        <v/>
      </c>
      <c r="O1291" s="91">
        <f>IF(ISNUMBER(K1291),IF(B1291="",K1291,IF(AND(ISNUMBER(MATCH(B1291,'案件'!$A$6:$A$105,0)),OR(D1291="材料費",D1291="労務費",D1291="外注費",D1291="経費")),0,K1291)),0)</f>
        <v/>
      </c>
    </row>
    <row r="1292" ht="16" customHeight="1">
      <c r="A1292" s="35" t="n"/>
      <c r="B1292" s="36" t="n"/>
      <c r="C1292" s="37">
        <f>IF(B1292="","",IFERROR(INDEX('案件'!$B$6:$B$105,MATCH(B1292,'案件'!$A$6:$A$105,0))&amp;"","（案件シートに無い番号）"))</f>
        <v/>
      </c>
      <c r="D1292" s="36" t="n"/>
      <c r="E1292" s="38" t="n"/>
      <c r="F1292" s="39" t="n"/>
      <c r="G1292" s="36" t="n"/>
      <c r="H1292" s="40" t="n"/>
      <c r="I1292" s="40" t="n"/>
      <c r="J1292" s="41">
        <f>IF(ISNUMBER(H1292),H1292,IF(AND(D1292="労務費",TRIM(E1292)&lt;&gt;""),IFERROR(INDEX('設定'!$G$12:$G$31,MATCH(TRIM(E1292),'設定'!$J$12:$J$31,0)),""),""))</f>
        <v/>
      </c>
      <c r="K1292" s="30">
        <f>IF(AND(ISNUMBER(F1292),ISNUMBER(J1292)),ROUND(F1292*J1292,0),IF(ISNUMBER(I1292),I1292,""))</f>
        <v/>
      </c>
      <c r="L1292" s="33" t="n"/>
      <c r="M1292" s="34">
        <f>IF(COUNTA(A1292:B1292,D1292:I1292,L1292)=0,"",IF(B1292="","案件番号がありません",IF(ISNA(MATCH(B1292,'案件'!$A$6:$A$105,0)),"案件シートに無い番号です",IF(NOT(OR(D1292="材料費",D1292="労務費",D1292="外注費",D1292="経費")),"費目を4つから選んでください",IF(K1292="",IF(AND(ISNUMBER(F1292),NOT(ISNUMBER(J1292))),IF(D1292="労務費","単価がありません（設定の作業者名と同じ書き方に）","単価がありません"),IF(AND(ISNUMBER(J1292),NOT(ISNUMBER(F1292))),"数量がありません","金額がありません")),IF(NOT(ISNUMBER(A1292)),"日付がありません（月別集計に入りません）",IF(AND(ISNUMBER(F1292),ISNUMBER(J1292),ISNUMBER(I1292)),"数量×単価を使いました（金額の欄は使っていません）","")))))))</f>
        <v/>
      </c>
      <c r="N1292" s="91">
        <f>IF(AND(B1292&lt;&gt;"",B1292='案件カード'!$C$3),COUNTIF($B$5:B1292,'案件カード'!$C$3),"")</f>
        <v/>
      </c>
      <c r="O1292" s="91">
        <f>IF(ISNUMBER(K1292),IF(B1292="",K1292,IF(AND(ISNUMBER(MATCH(B1292,'案件'!$A$6:$A$105,0)),OR(D1292="材料費",D1292="労務費",D1292="外注費",D1292="経費")),0,K1292)),0)</f>
        <v/>
      </c>
    </row>
    <row r="1293" ht="16" customHeight="1">
      <c r="A1293" s="35" t="n"/>
      <c r="B1293" s="36" t="n"/>
      <c r="C1293" s="37">
        <f>IF(B1293="","",IFERROR(INDEX('案件'!$B$6:$B$105,MATCH(B1293,'案件'!$A$6:$A$105,0))&amp;"","（案件シートに無い番号）"))</f>
        <v/>
      </c>
      <c r="D1293" s="36" t="n"/>
      <c r="E1293" s="38" t="n"/>
      <c r="F1293" s="39" t="n"/>
      <c r="G1293" s="36" t="n"/>
      <c r="H1293" s="40" t="n"/>
      <c r="I1293" s="40" t="n"/>
      <c r="J1293" s="41">
        <f>IF(ISNUMBER(H1293),H1293,IF(AND(D1293="労務費",TRIM(E1293)&lt;&gt;""),IFERROR(INDEX('設定'!$G$12:$G$31,MATCH(TRIM(E1293),'設定'!$J$12:$J$31,0)),""),""))</f>
        <v/>
      </c>
      <c r="K1293" s="30">
        <f>IF(AND(ISNUMBER(F1293),ISNUMBER(J1293)),ROUND(F1293*J1293,0),IF(ISNUMBER(I1293),I1293,""))</f>
        <v/>
      </c>
      <c r="L1293" s="33" t="n"/>
      <c r="M1293" s="34">
        <f>IF(COUNTA(A1293:B1293,D1293:I1293,L1293)=0,"",IF(B1293="","案件番号がありません",IF(ISNA(MATCH(B1293,'案件'!$A$6:$A$105,0)),"案件シートに無い番号です",IF(NOT(OR(D1293="材料費",D1293="労務費",D1293="外注費",D1293="経費")),"費目を4つから選んでください",IF(K1293="",IF(AND(ISNUMBER(F1293),NOT(ISNUMBER(J1293))),IF(D1293="労務費","単価がありません（設定の作業者名と同じ書き方に）","単価がありません"),IF(AND(ISNUMBER(J1293),NOT(ISNUMBER(F1293))),"数量がありません","金額がありません")),IF(NOT(ISNUMBER(A1293)),"日付がありません（月別集計に入りません）",IF(AND(ISNUMBER(F1293),ISNUMBER(J1293),ISNUMBER(I1293)),"数量×単価を使いました（金額の欄は使っていません）","")))))))</f>
        <v/>
      </c>
      <c r="N1293" s="91">
        <f>IF(AND(B1293&lt;&gt;"",B1293='案件カード'!$C$3),COUNTIF($B$5:B1293,'案件カード'!$C$3),"")</f>
        <v/>
      </c>
      <c r="O1293" s="91">
        <f>IF(ISNUMBER(K1293),IF(B1293="",K1293,IF(AND(ISNUMBER(MATCH(B1293,'案件'!$A$6:$A$105,0)),OR(D1293="材料費",D1293="労務費",D1293="外注費",D1293="経費")),0,K1293)),0)</f>
        <v/>
      </c>
    </row>
    <row r="1294" ht="16" customHeight="1">
      <c r="A1294" s="35" t="n"/>
      <c r="B1294" s="36" t="n"/>
      <c r="C1294" s="37">
        <f>IF(B1294="","",IFERROR(INDEX('案件'!$B$6:$B$105,MATCH(B1294,'案件'!$A$6:$A$105,0))&amp;"","（案件シートに無い番号）"))</f>
        <v/>
      </c>
      <c r="D1294" s="36" t="n"/>
      <c r="E1294" s="38" t="n"/>
      <c r="F1294" s="39" t="n"/>
      <c r="G1294" s="36" t="n"/>
      <c r="H1294" s="40" t="n"/>
      <c r="I1294" s="40" t="n"/>
      <c r="J1294" s="41">
        <f>IF(ISNUMBER(H1294),H1294,IF(AND(D1294="労務費",TRIM(E1294)&lt;&gt;""),IFERROR(INDEX('設定'!$G$12:$G$31,MATCH(TRIM(E1294),'設定'!$J$12:$J$31,0)),""),""))</f>
        <v/>
      </c>
      <c r="K1294" s="30">
        <f>IF(AND(ISNUMBER(F1294),ISNUMBER(J1294)),ROUND(F1294*J1294,0),IF(ISNUMBER(I1294),I1294,""))</f>
        <v/>
      </c>
      <c r="L1294" s="33" t="n"/>
      <c r="M1294" s="34">
        <f>IF(COUNTA(A1294:B1294,D1294:I1294,L1294)=0,"",IF(B1294="","案件番号がありません",IF(ISNA(MATCH(B1294,'案件'!$A$6:$A$105,0)),"案件シートに無い番号です",IF(NOT(OR(D1294="材料費",D1294="労務費",D1294="外注費",D1294="経費")),"費目を4つから選んでください",IF(K1294="",IF(AND(ISNUMBER(F1294),NOT(ISNUMBER(J1294))),IF(D1294="労務費","単価がありません（設定の作業者名と同じ書き方に）","単価がありません"),IF(AND(ISNUMBER(J1294),NOT(ISNUMBER(F1294))),"数量がありません","金額がありません")),IF(NOT(ISNUMBER(A1294)),"日付がありません（月別集計に入りません）",IF(AND(ISNUMBER(F1294),ISNUMBER(J1294),ISNUMBER(I1294)),"数量×単価を使いました（金額の欄は使っていません）","")))))))</f>
        <v/>
      </c>
      <c r="N1294" s="91">
        <f>IF(AND(B1294&lt;&gt;"",B1294='案件カード'!$C$3),COUNTIF($B$5:B1294,'案件カード'!$C$3),"")</f>
        <v/>
      </c>
      <c r="O1294" s="91">
        <f>IF(ISNUMBER(K1294),IF(B1294="",K1294,IF(AND(ISNUMBER(MATCH(B1294,'案件'!$A$6:$A$105,0)),OR(D1294="材料費",D1294="労務費",D1294="外注費",D1294="経費")),0,K1294)),0)</f>
        <v/>
      </c>
    </row>
    <row r="1295" ht="16" customHeight="1">
      <c r="A1295" s="35" t="n"/>
      <c r="B1295" s="36" t="n"/>
      <c r="C1295" s="37">
        <f>IF(B1295="","",IFERROR(INDEX('案件'!$B$6:$B$105,MATCH(B1295,'案件'!$A$6:$A$105,0))&amp;"","（案件シートに無い番号）"))</f>
        <v/>
      </c>
      <c r="D1295" s="36" t="n"/>
      <c r="E1295" s="38" t="n"/>
      <c r="F1295" s="39" t="n"/>
      <c r="G1295" s="36" t="n"/>
      <c r="H1295" s="40" t="n"/>
      <c r="I1295" s="40" t="n"/>
      <c r="J1295" s="41">
        <f>IF(ISNUMBER(H1295),H1295,IF(AND(D1295="労務費",TRIM(E1295)&lt;&gt;""),IFERROR(INDEX('設定'!$G$12:$G$31,MATCH(TRIM(E1295),'設定'!$J$12:$J$31,0)),""),""))</f>
        <v/>
      </c>
      <c r="K1295" s="30">
        <f>IF(AND(ISNUMBER(F1295),ISNUMBER(J1295)),ROUND(F1295*J1295,0),IF(ISNUMBER(I1295),I1295,""))</f>
        <v/>
      </c>
      <c r="L1295" s="33" t="n"/>
      <c r="M1295" s="34">
        <f>IF(COUNTA(A1295:B1295,D1295:I1295,L1295)=0,"",IF(B1295="","案件番号がありません",IF(ISNA(MATCH(B1295,'案件'!$A$6:$A$105,0)),"案件シートに無い番号です",IF(NOT(OR(D1295="材料費",D1295="労務費",D1295="外注費",D1295="経費")),"費目を4つから選んでください",IF(K1295="",IF(AND(ISNUMBER(F1295),NOT(ISNUMBER(J1295))),IF(D1295="労務費","単価がありません（設定の作業者名と同じ書き方に）","単価がありません"),IF(AND(ISNUMBER(J1295),NOT(ISNUMBER(F1295))),"数量がありません","金額がありません")),IF(NOT(ISNUMBER(A1295)),"日付がありません（月別集計に入りません）",IF(AND(ISNUMBER(F1295),ISNUMBER(J1295),ISNUMBER(I1295)),"数量×単価を使いました（金額の欄は使っていません）","")))))))</f>
        <v/>
      </c>
      <c r="N1295" s="91">
        <f>IF(AND(B1295&lt;&gt;"",B1295='案件カード'!$C$3),COUNTIF($B$5:B1295,'案件カード'!$C$3),"")</f>
        <v/>
      </c>
      <c r="O1295" s="91">
        <f>IF(ISNUMBER(K1295),IF(B1295="",K1295,IF(AND(ISNUMBER(MATCH(B1295,'案件'!$A$6:$A$105,0)),OR(D1295="材料費",D1295="労務費",D1295="外注費",D1295="経費")),0,K1295)),0)</f>
        <v/>
      </c>
    </row>
    <row r="1296" ht="16" customHeight="1">
      <c r="A1296" s="35" t="n"/>
      <c r="B1296" s="36" t="n"/>
      <c r="C1296" s="37">
        <f>IF(B1296="","",IFERROR(INDEX('案件'!$B$6:$B$105,MATCH(B1296,'案件'!$A$6:$A$105,0))&amp;"","（案件シートに無い番号）"))</f>
        <v/>
      </c>
      <c r="D1296" s="36" t="n"/>
      <c r="E1296" s="38" t="n"/>
      <c r="F1296" s="39" t="n"/>
      <c r="G1296" s="36" t="n"/>
      <c r="H1296" s="40" t="n"/>
      <c r="I1296" s="40" t="n"/>
      <c r="J1296" s="41">
        <f>IF(ISNUMBER(H1296),H1296,IF(AND(D1296="労務費",TRIM(E1296)&lt;&gt;""),IFERROR(INDEX('設定'!$G$12:$G$31,MATCH(TRIM(E1296),'設定'!$J$12:$J$31,0)),""),""))</f>
        <v/>
      </c>
      <c r="K1296" s="30">
        <f>IF(AND(ISNUMBER(F1296),ISNUMBER(J1296)),ROUND(F1296*J1296,0),IF(ISNUMBER(I1296),I1296,""))</f>
        <v/>
      </c>
      <c r="L1296" s="33" t="n"/>
      <c r="M1296" s="34">
        <f>IF(COUNTA(A1296:B1296,D1296:I1296,L1296)=0,"",IF(B1296="","案件番号がありません",IF(ISNA(MATCH(B1296,'案件'!$A$6:$A$105,0)),"案件シートに無い番号です",IF(NOT(OR(D1296="材料費",D1296="労務費",D1296="外注費",D1296="経費")),"費目を4つから選んでください",IF(K1296="",IF(AND(ISNUMBER(F1296),NOT(ISNUMBER(J1296))),IF(D1296="労務費","単価がありません（設定の作業者名と同じ書き方に）","単価がありません"),IF(AND(ISNUMBER(J1296),NOT(ISNUMBER(F1296))),"数量がありません","金額がありません")),IF(NOT(ISNUMBER(A1296)),"日付がありません（月別集計に入りません）",IF(AND(ISNUMBER(F1296),ISNUMBER(J1296),ISNUMBER(I1296)),"数量×単価を使いました（金額の欄は使っていません）","")))))))</f>
        <v/>
      </c>
      <c r="N1296" s="91">
        <f>IF(AND(B1296&lt;&gt;"",B1296='案件カード'!$C$3),COUNTIF($B$5:B1296,'案件カード'!$C$3),"")</f>
        <v/>
      </c>
      <c r="O1296" s="91">
        <f>IF(ISNUMBER(K1296),IF(B1296="",K1296,IF(AND(ISNUMBER(MATCH(B1296,'案件'!$A$6:$A$105,0)),OR(D1296="材料費",D1296="労務費",D1296="外注費",D1296="経費")),0,K1296)),0)</f>
        <v/>
      </c>
    </row>
    <row r="1297" ht="16" customHeight="1">
      <c r="A1297" s="35" t="n"/>
      <c r="B1297" s="36" t="n"/>
      <c r="C1297" s="37">
        <f>IF(B1297="","",IFERROR(INDEX('案件'!$B$6:$B$105,MATCH(B1297,'案件'!$A$6:$A$105,0))&amp;"","（案件シートに無い番号）"))</f>
        <v/>
      </c>
      <c r="D1297" s="36" t="n"/>
      <c r="E1297" s="38" t="n"/>
      <c r="F1297" s="39" t="n"/>
      <c r="G1297" s="36" t="n"/>
      <c r="H1297" s="40" t="n"/>
      <c r="I1297" s="40" t="n"/>
      <c r="J1297" s="41">
        <f>IF(ISNUMBER(H1297),H1297,IF(AND(D1297="労務費",TRIM(E1297)&lt;&gt;""),IFERROR(INDEX('設定'!$G$12:$G$31,MATCH(TRIM(E1297),'設定'!$J$12:$J$31,0)),""),""))</f>
        <v/>
      </c>
      <c r="K1297" s="30">
        <f>IF(AND(ISNUMBER(F1297),ISNUMBER(J1297)),ROUND(F1297*J1297,0),IF(ISNUMBER(I1297),I1297,""))</f>
        <v/>
      </c>
      <c r="L1297" s="33" t="n"/>
      <c r="M1297" s="34">
        <f>IF(COUNTA(A1297:B1297,D1297:I1297,L1297)=0,"",IF(B1297="","案件番号がありません",IF(ISNA(MATCH(B1297,'案件'!$A$6:$A$105,0)),"案件シートに無い番号です",IF(NOT(OR(D1297="材料費",D1297="労務費",D1297="外注費",D1297="経費")),"費目を4つから選んでください",IF(K1297="",IF(AND(ISNUMBER(F1297),NOT(ISNUMBER(J1297))),IF(D1297="労務費","単価がありません（設定の作業者名と同じ書き方に）","単価がありません"),IF(AND(ISNUMBER(J1297),NOT(ISNUMBER(F1297))),"数量がありません","金額がありません")),IF(NOT(ISNUMBER(A1297)),"日付がありません（月別集計に入りません）",IF(AND(ISNUMBER(F1297),ISNUMBER(J1297),ISNUMBER(I1297)),"数量×単価を使いました（金額の欄は使っていません）","")))))))</f>
        <v/>
      </c>
      <c r="N1297" s="91">
        <f>IF(AND(B1297&lt;&gt;"",B1297='案件カード'!$C$3),COUNTIF($B$5:B1297,'案件カード'!$C$3),"")</f>
        <v/>
      </c>
      <c r="O1297" s="91">
        <f>IF(ISNUMBER(K1297),IF(B1297="",K1297,IF(AND(ISNUMBER(MATCH(B1297,'案件'!$A$6:$A$105,0)),OR(D1297="材料費",D1297="労務費",D1297="外注費",D1297="経費")),0,K1297)),0)</f>
        <v/>
      </c>
    </row>
    <row r="1298" ht="16" customHeight="1">
      <c r="A1298" s="35" t="n"/>
      <c r="B1298" s="36" t="n"/>
      <c r="C1298" s="37">
        <f>IF(B1298="","",IFERROR(INDEX('案件'!$B$6:$B$105,MATCH(B1298,'案件'!$A$6:$A$105,0))&amp;"","（案件シートに無い番号）"))</f>
        <v/>
      </c>
      <c r="D1298" s="36" t="n"/>
      <c r="E1298" s="38" t="n"/>
      <c r="F1298" s="39" t="n"/>
      <c r="G1298" s="36" t="n"/>
      <c r="H1298" s="40" t="n"/>
      <c r="I1298" s="40" t="n"/>
      <c r="J1298" s="41">
        <f>IF(ISNUMBER(H1298),H1298,IF(AND(D1298="労務費",TRIM(E1298)&lt;&gt;""),IFERROR(INDEX('設定'!$G$12:$G$31,MATCH(TRIM(E1298),'設定'!$J$12:$J$31,0)),""),""))</f>
        <v/>
      </c>
      <c r="K1298" s="30">
        <f>IF(AND(ISNUMBER(F1298),ISNUMBER(J1298)),ROUND(F1298*J1298,0),IF(ISNUMBER(I1298),I1298,""))</f>
        <v/>
      </c>
      <c r="L1298" s="33" t="n"/>
      <c r="M1298" s="34">
        <f>IF(COUNTA(A1298:B1298,D1298:I1298,L1298)=0,"",IF(B1298="","案件番号がありません",IF(ISNA(MATCH(B1298,'案件'!$A$6:$A$105,0)),"案件シートに無い番号です",IF(NOT(OR(D1298="材料費",D1298="労務費",D1298="外注費",D1298="経費")),"費目を4つから選んでください",IF(K1298="",IF(AND(ISNUMBER(F1298),NOT(ISNUMBER(J1298))),IF(D1298="労務費","単価がありません（設定の作業者名と同じ書き方に）","単価がありません"),IF(AND(ISNUMBER(J1298),NOT(ISNUMBER(F1298))),"数量がありません","金額がありません")),IF(NOT(ISNUMBER(A1298)),"日付がありません（月別集計に入りません）",IF(AND(ISNUMBER(F1298),ISNUMBER(J1298),ISNUMBER(I1298)),"数量×単価を使いました（金額の欄は使っていません）","")))))))</f>
        <v/>
      </c>
      <c r="N1298" s="91">
        <f>IF(AND(B1298&lt;&gt;"",B1298='案件カード'!$C$3),COUNTIF($B$5:B1298,'案件カード'!$C$3),"")</f>
        <v/>
      </c>
      <c r="O1298" s="91">
        <f>IF(ISNUMBER(K1298),IF(B1298="",K1298,IF(AND(ISNUMBER(MATCH(B1298,'案件'!$A$6:$A$105,0)),OR(D1298="材料費",D1298="労務費",D1298="外注費",D1298="経費")),0,K1298)),0)</f>
        <v/>
      </c>
    </row>
    <row r="1299" ht="16" customHeight="1">
      <c r="A1299" s="35" t="n"/>
      <c r="B1299" s="36" t="n"/>
      <c r="C1299" s="37">
        <f>IF(B1299="","",IFERROR(INDEX('案件'!$B$6:$B$105,MATCH(B1299,'案件'!$A$6:$A$105,0))&amp;"","（案件シートに無い番号）"))</f>
        <v/>
      </c>
      <c r="D1299" s="36" t="n"/>
      <c r="E1299" s="38" t="n"/>
      <c r="F1299" s="39" t="n"/>
      <c r="G1299" s="36" t="n"/>
      <c r="H1299" s="40" t="n"/>
      <c r="I1299" s="40" t="n"/>
      <c r="J1299" s="41">
        <f>IF(ISNUMBER(H1299),H1299,IF(AND(D1299="労務費",TRIM(E1299)&lt;&gt;""),IFERROR(INDEX('設定'!$G$12:$G$31,MATCH(TRIM(E1299),'設定'!$J$12:$J$31,0)),""),""))</f>
        <v/>
      </c>
      <c r="K1299" s="30">
        <f>IF(AND(ISNUMBER(F1299),ISNUMBER(J1299)),ROUND(F1299*J1299,0),IF(ISNUMBER(I1299),I1299,""))</f>
        <v/>
      </c>
      <c r="L1299" s="33" t="n"/>
      <c r="M1299" s="34">
        <f>IF(COUNTA(A1299:B1299,D1299:I1299,L1299)=0,"",IF(B1299="","案件番号がありません",IF(ISNA(MATCH(B1299,'案件'!$A$6:$A$105,0)),"案件シートに無い番号です",IF(NOT(OR(D1299="材料費",D1299="労務費",D1299="外注費",D1299="経費")),"費目を4つから選んでください",IF(K1299="",IF(AND(ISNUMBER(F1299),NOT(ISNUMBER(J1299))),IF(D1299="労務費","単価がありません（設定の作業者名と同じ書き方に）","単価がありません"),IF(AND(ISNUMBER(J1299),NOT(ISNUMBER(F1299))),"数量がありません","金額がありません")),IF(NOT(ISNUMBER(A1299)),"日付がありません（月別集計に入りません）",IF(AND(ISNUMBER(F1299),ISNUMBER(J1299),ISNUMBER(I1299)),"数量×単価を使いました（金額の欄は使っていません）","")))))))</f>
        <v/>
      </c>
      <c r="N1299" s="91">
        <f>IF(AND(B1299&lt;&gt;"",B1299='案件カード'!$C$3),COUNTIF($B$5:B1299,'案件カード'!$C$3),"")</f>
        <v/>
      </c>
      <c r="O1299" s="91">
        <f>IF(ISNUMBER(K1299),IF(B1299="",K1299,IF(AND(ISNUMBER(MATCH(B1299,'案件'!$A$6:$A$105,0)),OR(D1299="材料費",D1299="労務費",D1299="外注費",D1299="経費")),0,K1299)),0)</f>
        <v/>
      </c>
    </row>
    <row r="1300" ht="16" customHeight="1">
      <c r="A1300" s="35" t="n"/>
      <c r="B1300" s="36" t="n"/>
      <c r="C1300" s="37">
        <f>IF(B1300="","",IFERROR(INDEX('案件'!$B$6:$B$105,MATCH(B1300,'案件'!$A$6:$A$105,0))&amp;"","（案件シートに無い番号）"))</f>
        <v/>
      </c>
      <c r="D1300" s="36" t="n"/>
      <c r="E1300" s="38" t="n"/>
      <c r="F1300" s="39" t="n"/>
      <c r="G1300" s="36" t="n"/>
      <c r="H1300" s="40" t="n"/>
      <c r="I1300" s="40" t="n"/>
      <c r="J1300" s="41">
        <f>IF(ISNUMBER(H1300),H1300,IF(AND(D1300="労務費",TRIM(E1300)&lt;&gt;""),IFERROR(INDEX('設定'!$G$12:$G$31,MATCH(TRIM(E1300),'設定'!$J$12:$J$31,0)),""),""))</f>
        <v/>
      </c>
      <c r="K1300" s="30">
        <f>IF(AND(ISNUMBER(F1300),ISNUMBER(J1300)),ROUND(F1300*J1300,0),IF(ISNUMBER(I1300),I1300,""))</f>
        <v/>
      </c>
      <c r="L1300" s="33" t="n"/>
      <c r="M1300" s="34">
        <f>IF(COUNTA(A1300:B1300,D1300:I1300,L1300)=0,"",IF(B1300="","案件番号がありません",IF(ISNA(MATCH(B1300,'案件'!$A$6:$A$105,0)),"案件シートに無い番号です",IF(NOT(OR(D1300="材料費",D1300="労務費",D1300="外注費",D1300="経費")),"費目を4つから選んでください",IF(K1300="",IF(AND(ISNUMBER(F1300),NOT(ISNUMBER(J1300))),IF(D1300="労務費","単価がありません（設定の作業者名と同じ書き方に）","単価がありません"),IF(AND(ISNUMBER(J1300),NOT(ISNUMBER(F1300))),"数量がありません","金額がありません")),IF(NOT(ISNUMBER(A1300)),"日付がありません（月別集計に入りません）",IF(AND(ISNUMBER(F1300),ISNUMBER(J1300),ISNUMBER(I1300)),"数量×単価を使いました（金額の欄は使っていません）","")))))))</f>
        <v/>
      </c>
      <c r="N1300" s="91">
        <f>IF(AND(B1300&lt;&gt;"",B1300='案件カード'!$C$3),COUNTIF($B$5:B1300,'案件カード'!$C$3),"")</f>
        <v/>
      </c>
      <c r="O1300" s="91">
        <f>IF(ISNUMBER(K1300),IF(B1300="",K1300,IF(AND(ISNUMBER(MATCH(B1300,'案件'!$A$6:$A$105,0)),OR(D1300="材料費",D1300="労務費",D1300="外注費",D1300="経費")),0,K1300)),0)</f>
        <v/>
      </c>
    </row>
    <row r="1301" ht="16" customHeight="1">
      <c r="A1301" s="35" t="n"/>
      <c r="B1301" s="36" t="n"/>
      <c r="C1301" s="37">
        <f>IF(B1301="","",IFERROR(INDEX('案件'!$B$6:$B$105,MATCH(B1301,'案件'!$A$6:$A$105,0))&amp;"","（案件シートに無い番号）"))</f>
        <v/>
      </c>
      <c r="D1301" s="36" t="n"/>
      <c r="E1301" s="38" t="n"/>
      <c r="F1301" s="39" t="n"/>
      <c r="G1301" s="36" t="n"/>
      <c r="H1301" s="40" t="n"/>
      <c r="I1301" s="40" t="n"/>
      <c r="J1301" s="41">
        <f>IF(ISNUMBER(H1301),H1301,IF(AND(D1301="労務費",TRIM(E1301)&lt;&gt;""),IFERROR(INDEX('設定'!$G$12:$G$31,MATCH(TRIM(E1301),'設定'!$J$12:$J$31,0)),""),""))</f>
        <v/>
      </c>
      <c r="K1301" s="30">
        <f>IF(AND(ISNUMBER(F1301),ISNUMBER(J1301)),ROUND(F1301*J1301,0),IF(ISNUMBER(I1301),I1301,""))</f>
        <v/>
      </c>
      <c r="L1301" s="33" t="n"/>
      <c r="M1301" s="34">
        <f>IF(COUNTA(A1301:B1301,D1301:I1301,L1301)=0,"",IF(B1301="","案件番号がありません",IF(ISNA(MATCH(B1301,'案件'!$A$6:$A$105,0)),"案件シートに無い番号です",IF(NOT(OR(D1301="材料費",D1301="労務費",D1301="外注費",D1301="経費")),"費目を4つから選んでください",IF(K1301="",IF(AND(ISNUMBER(F1301),NOT(ISNUMBER(J1301))),IF(D1301="労務費","単価がありません（設定の作業者名と同じ書き方に）","単価がありません"),IF(AND(ISNUMBER(J1301),NOT(ISNUMBER(F1301))),"数量がありません","金額がありません")),IF(NOT(ISNUMBER(A1301)),"日付がありません（月別集計に入りません）",IF(AND(ISNUMBER(F1301),ISNUMBER(J1301),ISNUMBER(I1301)),"数量×単価を使いました（金額の欄は使っていません）","")))))))</f>
        <v/>
      </c>
      <c r="N1301" s="91">
        <f>IF(AND(B1301&lt;&gt;"",B1301='案件カード'!$C$3),COUNTIF($B$5:B1301,'案件カード'!$C$3),"")</f>
        <v/>
      </c>
      <c r="O1301" s="91">
        <f>IF(ISNUMBER(K1301),IF(B1301="",K1301,IF(AND(ISNUMBER(MATCH(B1301,'案件'!$A$6:$A$105,0)),OR(D1301="材料費",D1301="労務費",D1301="外注費",D1301="経費")),0,K1301)),0)</f>
        <v/>
      </c>
    </row>
    <row r="1302" ht="16" customHeight="1">
      <c r="A1302" s="35" t="n"/>
      <c r="B1302" s="36" t="n"/>
      <c r="C1302" s="37">
        <f>IF(B1302="","",IFERROR(INDEX('案件'!$B$6:$B$105,MATCH(B1302,'案件'!$A$6:$A$105,0))&amp;"","（案件シートに無い番号）"))</f>
        <v/>
      </c>
      <c r="D1302" s="36" t="n"/>
      <c r="E1302" s="38" t="n"/>
      <c r="F1302" s="39" t="n"/>
      <c r="G1302" s="36" t="n"/>
      <c r="H1302" s="40" t="n"/>
      <c r="I1302" s="40" t="n"/>
      <c r="J1302" s="41">
        <f>IF(ISNUMBER(H1302),H1302,IF(AND(D1302="労務費",TRIM(E1302)&lt;&gt;""),IFERROR(INDEX('設定'!$G$12:$G$31,MATCH(TRIM(E1302),'設定'!$J$12:$J$31,0)),""),""))</f>
        <v/>
      </c>
      <c r="K1302" s="30">
        <f>IF(AND(ISNUMBER(F1302),ISNUMBER(J1302)),ROUND(F1302*J1302,0),IF(ISNUMBER(I1302),I1302,""))</f>
        <v/>
      </c>
      <c r="L1302" s="33" t="n"/>
      <c r="M1302" s="34">
        <f>IF(COUNTA(A1302:B1302,D1302:I1302,L1302)=0,"",IF(B1302="","案件番号がありません",IF(ISNA(MATCH(B1302,'案件'!$A$6:$A$105,0)),"案件シートに無い番号です",IF(NOT(OR(D1302="材料費",D1302="労務費",D1302="外注費",D1302="経費")),"費目を4つから選んでください",IF(K1302="",IF(AND(ISNUMBER(F1302),NOT(ISNUMBER(J1302))),IF(D1302="労務費","単価がありません（設定の作業者名と同じ書き方に）","単価がありません"),IF(AND(ISNUMBER(J1302),NOT(ISNUMBER(F1302))),"数量がありません","金額がありません")),IF(NOT(ISNUMBER(A1302)),"日付がありません（月別集計に入りません）",IF(AND(ISNUMBER(F1302),ISNUMBER(J1302),ISNUMBER(I1302)),"数量×単価を使いました（金額の欄は使っていません）","")))))))</f>
        <v/>
      </c>
      <c r="N1302" s="91">
        <f>IF(AND(B1302&lt;&gt;"",B1302='案件カード'!$C$3),COUNTIF($B$5:B1302,'案件カード'!$C$3),"")</f>
        <v/>
      </c>
      <c r="O1302" s="91">
        <f>IF(ISNUMBER(K1302),IF(B1302="",K1302,IF(AND(ISNUMBER(MATCH(B1302,'案件'!$A$6:$A$105,0)),OR(D1302="材料費",D1302="労務費",D1302="外注費",D1302="経費")),0,K1302)),0)</f>
        <v/>
      </c>
    </row>
    <row r="1303" ht="16" customHeight="1">
      <c r="A1303" s="35" t="n"/>
      <c r="B1303" s="36" t="n"/>
      <c r="C1303" s="37">
        <f>IF(B1303="","",IFERROR(INDEX('案件'!$B$6:$B$105,MATCH(B1303,'案件'!$A$6:$A$105,0))&amp;"","（案件シートに無い番号）"))</f>
        <v/>
      </c>
      <c r="D1303" s="36" t="n"/>
      <c r="E1303" s="38" t="n"/>
      <c r="F1303" s="39" t="n"/>
      <c r="G1303" s="36" t="n"/>
      <c r="H1303" s="40" t="n"/>
      <c r="I1303" s="40" t="n"/>
      <c r="J1303" s="41">
        <f>IF(ISNUMBER(H1303),H1303,IF(AND(D1303="労務費",TRIM(E1303)&lt;&gt;""),IFERROR(INDEX('設定'!$G$12:$G$31,MATCH(TRIM(E1303),'設定'!$J$12:$J$31,0)),""),""))</f>
        <v/>
      </c>
      <c r="K1303" s="30">
        <f>IF(AND(ISNUMBER(F1303),ISNUMBER(J1303)),ROUND(F1303*J1303,0),IF(ISNUMBER(I1303),I1303,""))</f>
        <v/>
      </c>
      <c r="L1303" s="33" t="n"/>
      <c r="M1303" s="34">
        <f>IF(COUNTA(A1303:B1303,D1303:I1303,L1303)=0,"",IF(B1303="","案件番号がありません",IF(ISNA(MATCH(B1303,'案件'!$A$6:$A$105,0)),"案件シートに無い番号です",IF(NOT(OR(D1303="材料費",D1303="労務費",D1303="外注費",D1303="経費")),"費目を4つから選んでください",IF(K1303="",IF(AND(ISNUMBER(F1303),NOT(ISNUMBER(J1303))),IF(D1303="労務費","単価がありません（設定の作業者名と同じ書き方に）","単価がありません"),IF(AND(ISNUMBER(J1303),NOT(ISNUMBER(F1303))),"数量がありません","金額がありません")),IF(NOT(ISNUMBER(A1303)),"日付がありません（月別集計に入りません）",IF(AND(ISNUMBER(F1303),ISNUMBER(J1303),ISNUMBER(I1303)),"数量×単価を使いました（金額の欄は使っていません）","")))))))</f>
        <v/>
      </c>
      <c r="N1303" s="91">
        <f>IF(AND(B1303&lt;&gt;"",B1303='案件カード'!$C$3),COUNTIF($B$5:B1303,'案件カード'!$C$3),"")</f>
        <v/>
      </c>
      <c r="O1303" s="91">
        <f>IF(ISNUMBER(K1303),IF(B1303="",K1303,IF(AND(ISNUMBER(MATCH(B1303,'案件'!$A$6:$A$105,0)),OR(D1303="材料費",D1303="労務費",D1303="外注費",D1303="経費")),0,K1303)),0)</f>
        <v/>
      </c>
    </row>
    <row r="1304" ht="16" customHeight="1">
      <c r="A1304" s="35" t="n"/>
      <c r="B1304" s="36" t="n"/>
      <c r="C1304" s="37">
        <f>IF(B1304="","",IFERROR(INDEX('案件'!$B$6:$B$105,MATCH(B1304,'案件'!$A$6:$A$105,0))&amp;"","（案件シートに無い番号）"))</f>
        <v/>
      </c>
      <c r="D1304" s="36" t="n"/>
      <c r="E1304" s="38" t="n"/>
      <c r="F1304" s="39" t="n"/>
      <c r="G1304" s="36" t="n"/>
      <c r="H1304" s="40" t="n"/>
      <c r="I1304" s="40" t="n"/>
      <c r="J1304" s="41">
        <f>IF(ISNUMBER(H1304),H1304,IF(AND(D1304="労務費",TRIM(E1304)&lt;&gt;""),IFERROR(INDEX('設定'!$G$12:$G$31,MATCH(TRIM(E1304),'設定'!$J$12:$J$31,0)),""),""))</f>
        <v/>
      </c>
      <c r="K1304" s="30">
        <f>IF(AND(ISNUMBER(F1304),ISNUMBER(J1304)),ROUND(F1304*J1304,0),IF(ISNUMBER(I1304),I1304,""))</f>
        <v/>
      </c>
      <c r="L1304" s="33" t="n"/>
      <c r="M1304" s="34">
        <f>IF(COUNTA(A1304:B1304,D1304:I1304,L1304)=0,"",IF(B1304="","案件番号がありません",IF(ISNA(MATCH(B1304,'案件'!$A$6:$A$105,0)),"案件シートに無い番号です",IF(NOT(OR(D1304="材料費",D1304="労務費",D1304="外注費",D1304="経費")),"費目を4つから選んでください",IF(K1304="",IF(AND(ISNUMBER(F1304),NOT(ISNUMBER(J1304))),IF(D1304="労務費","単価がありません（設定の作業者名と同じ書き方に）","単価がありません"),IF(AND(ISNUMBER(J1304),NOT(ISNUMBER(F1304))),"数量がありません","金額がありません")),IF(NOT(ISNUMBER(A1304)),"日付がありません（月別集計に入りません）",IF(AND(ISNUMBER(F1304),ISNUMBER(J1304),ISNUMBER(I1304)),"数量×単価を使いました（金額の欄は使っていません）","")))))))</f>
        <v/>
      </c>
      <c r="N1304" s="91">
        <f>IF(AND(B1304&lt;&gt;"",B1304='案件カード'!$C$3),COUNTIF($B$5:B1304,'案件カード'!$C$3),"")</f>
        <v/>
      </c>
      <c r="O1304" s="91">
        <f>IF(ISNUMBER(K1304),IF(B1304="",K1304,IF(AND(ISNUMBER(MATCH(B1304,'案件'!$A$6:$A$105,0)),OR(D1304="材料費",D1304="労務費",D1304="外注費",D1304="経費")),0,K1304)),0)</f>
        <v/>
      </c>
    </row>
    <row r="1305" ht="16" customHeight="1">
      <c r="A1305" s="35" t="n"/>
      <c r="B1305" s="36" t="n"/>
      <c r="C1305" s="37">
        <f>IF(B1305="","",IFERROR(INDEX('案件'!$B$6:$B$105,MATCH(B1305,'案件'!$A$6:$A$105,0))&amp;"","（案件シートに無い番号）"))</f>
        <v/>
      </c>
      <c r="D1305" s="36" t="n"/>
      <c r="E1305" s="38" t="n"/>
      <c r="F1305" s="39" t="n"/>
      <c r="G1305" s="36" t="n"/>
      <c r="H1305" s="40" t="n"/>
      <c r="I1305" s="40" t="n"/>
      <c r="J1305" s="41">
        <f>IF(ISNUMBER(H1305),H1305,IF(AND(D1305="労務費",TRIM(E1305)&lt;&gt;""),IFERROR(INDEX('設定'!$G$12:$G$31,MATCH(TRIM(E1305),'設定'!$J$12:$J$31,0)),""),""))</f>
        <v/>
      </c>
      <c r="K1305" s="30">
        <f>IF(AND(ISNUMBER(F1305),ISNUMBER(J1305)),ROUND(F1305*J1305,0),IF(ISNUMBER(I1305),I1305,""))</f>
        <v/>
      </c>
      <c r="L1305" s="33" t="n"/>
      <c r="M1305" s="34">
        <f>IF(COUNTA(A1305:B1305,D1305:I1305,L1305)=0,"",IF(B1305="","案件番号がありません",IF(ISNA(MATCH(B1305,'案件'!$A$6:$A$105,0)),"案件シートに無い番号です",IF(NOT(OR(D1305="材料費",D1305="労務費",D1305="外注費",D1305="経費")),"費目を4つから選んでください",IF(K1305="",IF(AND(ISNUMBER(F1305),NOT(ISNUMBER(J1305))),IF(D1305="労務費","単価がありません（設定の作業者名と同じ書き方に）","単価がありません"),IF(AND(ISNUMBER(J1305),NOT(ISNUMBER(F1305))),"数量がありません","金額がありません")),IF(NOT(ISNUMBER(A1305)),"日付がありません（月別集計に入りません）",IF(AND(ISNUMBER(F1305),ISNUMBER(J1305),ISNUMBER(I1305)),"数量×単価を使いました（金額の欄は使っていません）","")))))))</f>
        <v/>
      </c>
      <c r="N1305" s="91">
        <f>IF(AND(B1305&lt;&gt;"",B1305='案件カード'!$C$3),COUNTIF($B$5:B1305,'案件カード'!$C$3),"")</f>
        <v/>
      </c>
      <c r="O1305" s="91">
        <f>IF(ISNUMBER(K1305),IF(B1305="",K1305,IF(AND(ISNUMBER(MATCH(B1305,'案件'!$A$6:$A$105,0)),OR(D1305="材料費",D1305="労務費",D1305="外注費",D1305="経費")),0,K1305)),0)</f>
        <v/>
      </c>
    </row>
    <row r="1306" ht="16" customHeight="1">
      <c r="A1306" s="35" t="n"/>
      <c r="B1306" s="36" t="n"/>
      <c r="C1306" s="37">
        <f>IF(B1306="","",IFERROR(INDEX('案件'!$B$6:$B$105,MATCH(B1306,'案件'!$A$6:$A$105,0))&amp;"","（案件シートに無い番号）"))</f>
        <v/>
      </c>
      <c r="D1306" s="36" t="n"/>
      <c r="E1306" s="38" t="n"/>
      <c r="F1306" s="39" t="n"/>
      <c r="G1306" s="36" t="n"/>
      <c r="H1306" s="40" t="n"/>
      <c r="I1306" s="40" t="n"/>
      <c r="J1306" s="41">
        <f>IF(ISNUMBER(H1306),H1306,IF(AND(D1306="労務費",TRIM(E1306)&lt;&gt;""),IFERROR(INDEX('設定'!$G$12:$G$31,MATCH(TRIM(E1306),'設定'!$J$12:$J$31,0)),""),""))</f>
        <v/>
      </c>
      <c r="K1306" s="30">
        <f>IF(AND(ISNUMBER(F1306),ISNUMBER(J1306)),ROUND(F1306*J1306,0),IF(ISNUMBER(I1306),I1306,""))</f>
        <v/>
      </c>
      <c r="L1306" s="33" t="n"/>
      <c r="M1306" s="34">
        <f>IF(COUNTA(A1306:B1306,D1306:I1306,L1306)=0,"",IF(B1306="","案件番号がありません",IF(ISNA(MATCH(B1306,'案件'!$A$6:$A$105,0)),"案件シートに無い番号です",IF(NOT(OR(D1306="材料費",D1306="労務費",D1306="外注費",D1306="経費")),"費目を4つから選んでください",IF(K1306="",IF(AND(ISNUMBER(F1306),NOT(ISNUMBER(J1306))),IF(D1306="労務費","単価がありません（設定の作業者名と同じ書き方に）","単価がありません"),IF(AND(ISNUMBER(J1306),NOT(ISNUMBER(F1306))),"数量がありません","金額がありません")),IF(NOT(ISNUMBER(A1306)),"日付がありません（月別集計に入りません）",IF(AND(ISNUMBER(F1306),ISNUMBER(J1306),ISNUMBER(I1306)),"数量×単価を使いました（金額の欄は使っていません）","")))))))</f>
        <v/>
      </c>
      <c r="N1306" s="91">
        <f>IF(AND(B1306&lt;&gt;"",B1306='案件カード'!$C$3),COUNTIF($B$5:B1306,'案件カード'!$C$3),"")</f>
        <v/>
      </c>
      <c r="O1306" s="91">
        <f>IF(ISNUMBER(K1306),IF(B1306="",K1306,IF(AND(ISNUMBER(MATCH(B1306,'案件'!$A$6:$A$105,0)),OR(D1306="材料費",D1306="労務費",D1306="外注費",D1306="経費")),0,K1306)),0)</f>
        <v/>
      </c>
    </row>
    <row r="1307" ht="16" customHeight="1">
      <c r="A1307" s="35" t="n"/>
      <c r="B1307" s="36" t="n"/>
      <c r="C1307" s="37">
        <f>IF(B1307="","",IFERROR(INDEX('案件'!$B$6:$B$105,MATCH(B1307,'案件'!$A$6:$A$105,0))&amp;"","（案件シートに無い番号）"))</f>
        <v/>
      </c>
      <c r="D1307" s="36" t="n"/>
      <c r="E1307" s="38" t="n"/>
      <c r="F1307" s="39" t="n"/>
      <c r="G1307" s="36" t="n"/>
      <c r="H1307" s="40" t="n"/>
      <c r="I1307" s="40" t="n"/>
      <c r="J1307" s="41">
        <f>IF(ISNUMBER(H1307),H1307,IF(AND(D1307="労務費",TRIM(E1307)&lt;&gt;""),IFERROR(INDEX('設定'!$G$12:$G$31,MATCH(TRIM(E1307),'設定'!$J$12:$J$31,0)),""),""))</f>
        <v/>
      </c>
      <c r="K1307" s="30">
        <f>IF(AND(ISNUMBER(F1307),ISNUMBER(J1307)),ROUND(F1307*J1307,0),IF(ISNUMBER(I1307),I1307,""))</f>
        <v/>
      </c>
      <c r="L1307" s="33" t="n"/>
      <c r="M1307" s="34">
        <f>IF(COUNTA(A1307:B1307,D1307:I1307,L1307)=0,"",IF(B1307="","案件番号がありません",IF(ISNA(MATCH(B1307,'案件'!$A$6:$A$105,0)),"案件シートに無い番号です",IF(NOT(OR(D1307="材料費",D1307="労務費",D1307="外注費",D1307="経費")),"費目を4つから選んでください",IF(K1307="",IF(AND(ISNUMBER(F1307),NOT(ISNUMBER(J1307))),IF(D1307="労務費","単価がありません（設定の作業者名と同じ書き方に）","単価がありません"),IF(AND(ISNUMBER(J1307),NOT(ISNUMBER(F1307))),"数量がありません","金額がありません")),IF(NOT(ISNUMBER(A1307)),"日付がありません（月別集計に入りません）",IF(AND(ISNUMBER(F1307),ISNUMBER(J1307),ISNUMBER(I1307)),"数量×単価を使いました（金額の欄は使っていません）","")))))))</f>
        <v/>
      </c>
      <c r="N1307" s="91">
        <f>IF(AND(B1307&lt;&gt;"",B1307='案件カード'!$C$3),COUNTIF($B$5:B1307,'案件カード'!$C$3),"")</f>
        <v/>
      </c>
      <c r="O1307" s="91">
        <f>IF(ISNUMBER(K1307),IF(B1307="",K1307,IF(AND(ISNUMBER(MATCH(B1307,'案件'!$A$6:$A$105,0)),OR(D1307="材料費",D1307="労務費",D1307="外注費",D1307="経費")),0,K1307)),0)</f>
        <v/>
      </c>
    </row>
    <row r="1308" ht="16" customHeight="1">
      <c r="A1308" s="35" t="n"/>
      <c r="B1308" s="36" t="n"/>
      <c r="C1308" s="37">
        <f>IF(B1308="","",IFERROR(INDEX('案件'!$B$6:$B$105,MATCH(B1308,'案件'!$A$6:$A$105,0))&amp;"","（案件シートに無い番号）"))</f>
        <v/>
      </c>
      <c r="D1308" s="36" t="n"/>
      <c r="E1308" s="38" t="n"/>
      <c r="F1308" s="39" t="n"/>
      <c r="G1308" s="36" t="n"/>
      <c r="H1308" s="40" t="n"/>
      <c r="I1308" s="40" t="n"/>
      <c r="J1308" s="41">
        <f>IF(ISNUMBER(H1308),H1308,IF(AND(D1308="労務費",TRIM(E1308)&lt;&gt;""),IFERROR(INDEX('設定'!$G$12:$G$31,MATCH(TRIM(E1308),'設定'!$J$12:$J$31,0)),""),""))</f>
        <v/>
      </c>
      <c r="K1308" s="30">
        <f>IF(AND(ISNUMBER(F1308),ISNUMBER(J1308)),ROUND(F1308*J1308,0),IF(ISNUMBER(I1308),I1308,""))</f>
        <v/>
      </c>
      <c r="L1308" s="33" t="n"/>
      <c r="M1308" s="34">
        <f>IF(COUNTA(A1308:B1308,D1308:I1308,L1308)=0,"",IF(B1308="","案件番号がありません",IF(ISNA(MATCH(B1308,'案件'!$A$6:$A$105,0)),"案件シートに無い番号です",IF(NOT(OR(D1308="材料費",D1308="労務費",D1308="外注費",D1308="経費")),"費目を4つから選んでください",IF(K1308="",IF(AND(ISNUMBER(F1308),NOT(ISNUMBER(J1308))),IF(D1308="労務費","単価がありません（設定の作業者名と同じ書き方に）","単価がありません"),IF(AND(ISNUMBER(J1308),NOT(ISNUMBER(F1308))),"数量がありません","金額がありません")),IF(NOT(ISNUMBER(A1308)),"日付がありません（月別集計に入りません）",IF(AND(ISNUMBER(F1308),ISNUMBER(J1308),ISNUMBER(I1308)),"数量×単価を使いました（金額の欄は使っていません）","")))))))</f>
        <v/>
      </c>
      <c r="N1308" s="91">
        <f>IF(AND(B1308&lt;&gt;"",B1308='案件カード'!$C$3),COUNTIF($B$5:B1308,'案件カード'!$C$3),"")</f>
        <v/>
      </c>
      <c r="O1308" s="91">
        <f>IF(ISNUMBER(K1308),IF(B1308="",K1308,IF(AND(ISNUMBER(MATCH(B1308,'案件'!$A$6:$A$105,0)),OR(D1308="材料費",D1308="労務費",D1308="外注費",D1308="経費")),0,K1308)),0)</f>
        <v/>
      </c>
    </row>
    <row r="1309" ht="16" customHeight="1">
      <c r="A1309" s="35" t="n"/>
      <c r="B1309" s="36" t="n"/>
      <c r="C1309" s="37">
        <f>IF(B1309="","",IFERROR(INDEX('案件'!$B$6:$B$105,MATCH(B1309,'案件'!$A$6:$A$105,0))&amp;"","（案件シートに無い番号）"))</f>
        <v/>
      </c>
      <c r="D1309" s="36" t="n"/>
      <c r="E1309" s="38" t="n"/>
      <c r="F1309" s="39" t="n"/>
      <c r="G1309" s="36" t="n"/>
      <c r="H1309" s="40" t="n"/>
      <c r="I1309" s="40" t="n"/>
      <c r="J1309" s="41">
        <f>IF(ISNUMBER(H1309),H1309,IF(AND(D1309="労務費",TRIM(E1309)&lt;&gt;""),IFERROR(INDEX('設定'!$G$12:$G$31,MATCH(TRIM(E1309),'設定'!$J$12:$J$31,0)),""),""))</f>
        <v/>
      </c>
      <c r="K1309" s="30">
        <f>IF(AND(ISNUMBER(F1309),ISNUMBER(J1309)),ROUND(F1309*J1309,0),IF(ISNUMBER(I1309),I1309,""))</f>
        <v/>
      </c>
      <c r="L1309" s="33" t="n"/>
      <c r="M1309" s="34">
        <f>IF(COUNTA(A1309:B1309,D1309:I1309,L1309)=0,"",IF(B1309="","案件番号がありません",IF(ISNA(MATCH(B1309,'案件'!$A$6:$A$105,0)),"案件シートに無い番号です",IF(NOT(OR(D1309="材料費",D1309="労務費",D1309="外注費",D1309="経費")),"費目を4つから選んでください",IF(K1309="",IF(AND(ISNUMBER(F1309),NOT(ISNUMBER(J1309))),IF(D1309="労務費","単価がありません（設定の作業者名と同じ書き方に）","単価がありません"),IF(AND(ISNUMBER(J1309),NOT(ISNUMBER(F1309))),"数量がありません","金額がありません")),IF(NOT(ISNUMBER(A1309)),"日付がありません（月別集計に入りません）",IF(AND(ISNUMBER(F1309),ISNUMBER(J1309),ISNUMBER(I1309)),"数量×単価を使いました（金額の欄は使っていません）","")))))))</f>
        <v/>
      </c>
      <c r="N1309" s="91">
        <f>IF(AND(B1309&lt;&gt;"",B1309='案件カード'!$C$3),COUNTIF($B$5:B1309,'案件カード'!$C$3),"")</f>
        <v/>
      </c>
      <c r="O1309" s="91">
        <f>IF(ISNUMBER(K1309),IF(B1309="",K1309,IF(AND(ISNUMBER(MATCH(B1309,'案件'!$A$6:$A$105,0)),OR(D1309="材料費",D1309="労務費",D1309="外注費",D1309="経費")),0,K1309)),0)</f>
        <v/>
      </c>
    </row>
    <row r="1310" ht="16" customHeight="1">
      <c r="A1310" s="35" t="n"/>
      <c r="B1310" s="36" t="n"/>
      <c r="C1310" s="37">
        <f>IF(B1310="","",IFERROR(INDEX('案件'!$B$6:$B$105,MATCH(B1310,'案件'!$A$6:$A$105,0))&amp;"","（案件シートに無い番号）"))</f>
        <v/>
      </c>
      <c r="D1310" s="36" t="n"/>
      <c r="E1310" s="38" t="n"/>
      <c r="F1310" s="39" t="n"/>
      <c r="G1310" s="36" t="n"/>
      <c r="H1310" s="40" t="n"/>
      <c r="I1310" s="40" t="n"/>
      <c r="J1310" s="41">
        <f>IF(ISNUMBER(H1310),H1310,IF(AND(D1310="労務費",TRIM(E1310)&lt;&gt;""),IFERROR(INDEX('設定'!$G$12:$G$31,MATCH(TRIM(E1310),'設定'!$J$12:$J$31,0)),""),""))</f>
        <v/>
      </c>
      <c r="K1310" s="30">
        <f>IF(AND(ISNUMBER(F1310),ISNUMBER(J1310)),ROUND(F1310*J1310,0),IF(ISNUMBER(I1310),I1310,""))</f>
        <v/>
      </c>
      <c r="L1310" s="33" t="n"/>
      <c r="M1310" s="34">
        <f>IF(COUNTA(A1310:B1310,D1310:I1310,L1310)=0,"",IF(B1310="","案件番号がありません",IF(ISNA(MATCH(B1310,'案件'!$A$6:$A$105,0)),"案件シートに無い番号です",IF(NOT(OR(D1310="材料費",D1310="労務費",D1310="外注費",D1310="経費")),"費目を4つから選んでください",IF(K1310="",IF(AND(ISNUMBER(F1310),NOT(ISNUMBER(J1310))),IF(D1310="労務費","単価がありません（設定の作業者名と同じ書き方に）","単価がありません"),IF(AND(ISNUMBER(J1310),NOT(ISNUMBER(F1310))),"数量がありません","金額がありません")),IF(NOT(ISNUMBER(A1310)),"日付がありません（月別集計に入りません）",IF(AND(ISNUMBER(F1310),ISNUMBER(J1310),ISNUMBER(I1310)),"数量×単価を使いました（金額の欄は使っていません）","")))))))</f>
        <v/>
      </c>
      <c r="N1310" s="91">
        <f>IF(AND(B1310&lt;&gt;"",B1310='案件カード'!$C$3),COUNTIF($B$5:B1310,'案件カード'!$C$3),"")</f>
        <v/>
      </c>
      <c r="O1310" s="91">
        <f>IF(ISNUMBER(K1310),IF(B1310="",K1310,IF(AND(ISNUMBER(MATCH(B1310,'案件'!$A$6:$A$105,0)),OR(D1310="材料費",D1310="労務費",D1310="外注費",D1310="経費")),0,K1310)),0)</f>
        <v/>
      </c>
    </row>
    <row r="1311" ht="16" customHeight="1">
      <c r="A1311" s="35" t="n"/>
      <c r="B1311" s="36" t="n"/>
      <c r="C1311" s="37">
        <f>IF(B1311="","",IFERROR(INDEX('案件'!$B$6:$B$105,MATCH(B1311,'案件'!$A$6:$A$105,0))&amp;"","（案件シートに無い番号）"))</f>
        <v/>
      </c>
      <c r="D1311" s="36" t="n"/>
      <c r="E1311" s="38" t="n"/>
      <c r="F1311" s="39" t="n"/>
      <c r="G1311" s="36" t="n"/>
      <c r="H1311" s="40" t="n"/>
      <c r="I1311" s="40" t="n"/>
      <c r="J1311" s="41">
        <f>IF(ISNUMBER(H1311),H1311,IF(AND(D1311="労務費",TRIM(E1311)&lt;&gt;""),IFERROR(INDEX('設定'!$G$12:$G$31,MATCH(TRIM(E1311),'設定'!$J$12:$J$31,0)),""),""))</f>
        <v/>
      </c>
      <c r="K1311" s="30">
        <f>IF(AND(ISNUMBER(F1311),ISNUMBER(J1311)),ROUND(F1311*J1311,0),IF(ISNUMBER(I1311),I1311,""))</f>
        <v/>
      </c>
      <c r="L1311" s="33" t="n"/>
      <c r="M1311" s="34">
        <f>IF(COUNTA(A1311:B1311,D1311:I1311,L1311)=0,"",IF(B1311="","案件番号がありません",IF(ISNA(MATCH(B1311,'案件'!$A$6:$A$105,0)),"案件シートに無い番号です",IF(NOT(OR(D1311="材料費",D1311="労務費",D1311="外注費",D1311="経費")),"費目を4つから選んでください",IF(K1311="",IF(AND(ISNUMBER(F1311),NOT(ISNUMBER(J1311))),IF(D1311="労務費","単価がありません（設定の作業者名と同じ書き方に）","単価がありません"),IF(AND(ISNUMBER(J1311),NOT(ISNUMBER(F1311))),"数量がありません","金額がありません")),IF(NOT(ISNUMBER(A1311)),"日付がありません（月別集計に入りません）",IF(AND(ISNUMBER(F1311),ISNUMBER(J1311),ISNUMBER(I1311)),"数量×単価を使いました（金額の欄は使っていません）","")))))))</f>
        <v/>
      </c>
      <c r="N1311" s="91">
        <f>IF(AND(B1311&lt;&gt;"",B1311='案件カード'!$C$3),COUNTIF($B$5:B1311,'案件カード'!$C$3),"")</f>
        <v/>
      </c>
      <c r="O1311" s="91">
        <f>IF(ISNUMBER(K1311),IF(B1311="",K1311,IF(AND(ISNUMBER(MATCH(B1311,'案件'!$A$6:$A$105,0)),OR(D1311="材料費",D1311="労務費",D1311="外注費",D1311="経費")),0,K1311)),0)</f>
        <v/>
      </c>
    </row>
    <row r="1312" ht="16" customHeight="1">
      <c r="A1312" s="35" t="n"/>
      <c r="B1312" s="36" t="n"/>
      <c r="C1312" s="37">
        <f>IF(B1312="","",IFERROR(INDEX('案件'!$B$6:$B$105,MATCH(B1312,'案件'!$A$6:$A$105,0))&amp;"","（案件シートに無い番号）"))</f>
        <v/>
      </c>
      <c r="D1312" s="36" t="n"/>
      <c r="E1312" s="38" t="n"/>
      <c r="F1312" s="39" t="n"/>
      <c r="G1312" s="36" t="n"/>
      <c r="H1312" s="40" t="n"/>
      <c r="I1312" s="40" t="n"/>
      <c r="J1312" s="41">
        <f>IF(ISNUMBER(H1312),H1312,IF(AND(D1312="労務費",TRIM(E1312)&lt;&gt;""),IFERROR(INDEX('設定'!$G$12:$G$31,MATCH(TRIM(E1312),'設定'!$J$12:$J$31,0)),""),""))</f>
        <v/>
      </c>
      <c r="K1312" s="30">
        <f>IF(AND(ISNUMBER(F1312),ISNUMBER(J1312)),ROUND(F1312*J1312,0),IF(ISNUMBER(I1312),I1312,""))</f>
        <v/>
      </c>
      <c r="L1312" s="33" t="n"/>
      <c r="M1312" s="34">
        <f>IF(COUNTA(A1312:B1312,D1312:I1312,L1312)=0,"",IF(B1312="","案件番号がありません",IF(ISNA(MATCH(B1312,'案件'!$A$6:$A$105,0)),"案件シートに無い番号です",IF(NOT(OR(D1312="材料費",D1312="労務費",D1312="外注費",D1312="経費")),"費目を4つから選んでください",IF(K1312="",IF(AND(ISNUMBER(F1312),NOT(ISNUMBER(J1312))),IF(D1312="労務費","単価がありません（設定の作業者名と同じ書き方に）","単価がありません"),IF(AND(ISNUMBER(J1312),NOT(ISNUMBER(F1312))),"数量がありません","金額がありません")),IF(NOT(ISNUMBER(A1312)),"日付がありません（月別集計に入りません）",IF(AND(ISNUMBER(F1312),ISNUMBER(J1312),ISNUMBER(I1312)),"数量×単価を使いました（金額の欄は使っていません）","")))))))</f>
        <v/>
      </c>
      <c r="N1312" s="91">
        <f>IF(AND(B1312&lt;&gt;"",B1312='案件カード'!$C$3),COUNTIF($B$5:B1312,'案件カード'!$C$3),"")</f>
        <v/>
      </c>
      <c r="O1312" s="91">
        <f>IF(ISNUMBER(K1312),IF(B1312="",K1312,IF(AND(ISNUMBER(MATCH(B1312,'案件'!$A$6:$A$105,0)),OR(D1312="材料費",D1312="労務費",D1312="外注費",D1312="経費")),0,K1312)),0)</f>
        <v/>
      </c>
    </row>
    <row r="1313" ht="16" customHeight="1">
      <c r="A1313" s="35" t="n"/>
      <c r="B1313" s="36" t="n"/>
      <c r="C1313" s="37">
        <f>IF(B1313="","",IFERROR(INDEX('案件'!$B$6:$B$105,MATCH(B1313,'案件'!$A$6:$A$105,0))&amp;"","（案件シートに無い番号）"))</f>
        <v/>
      </c>
      <c r="D1313" s="36" t="n"/>
      <c r="E1313" s="38" t="n"/>
      <c r="F1313" s="39" t="n"/>
      <c r="G1313" s="36" t="n"/>
      <c r="H1313" s="40" t="n"/>
      <c r="I1313" s="40" t="n"/>
      <c r="J1313" s="41">
        <f>IF(ISNUMBER(H1313),H1313,IF(AND(D1313="労務費",TRIM(E1313)&lt;&gt;""),IFERROR(INDEX('設定'!$G$12:$G$31,MATCH(TRIM(E1313),'設定'!$J$12:$J$31,0)),""),""))</f>
        <v/>
      </c>
      <c r="K1313" s="30">
        <f>IF(AND(ISNUMBER(F1313),ISNUMBER(J1313)),ROUND(F1313*J1313,0),IF(ISNUMBER(I1313),I1313,""))</f>
        <v/>
      </c>
      <c r="L1313" s="33" t="n"/>
      <c r="M1313" s="34">
        <f>IF(COUNTA(A1313:B1313,D1313:I1313,L1313)=0,"",IF(B1313="","案件番号がありません",IF(ISNA(MATCH(B1313,'案件'!$A$6:$A$105,0)),"案件シートに無い番号です",IF(NOT(OR(D1313="材料費",D1313="労務費",D1313="外注費",D1313="経費")),"費目を4つから選んでください",IF(K1313="",IF(AND(ISNUMBER(F1313),NOT(ISNUMBER(J1313))),IF(D1313="労務費","単価がありません（設定の作業者名と同じ書き方に）","単価がありません"),IF(AND(ISNUMBER(J1313),NOT(ISNUMBER(F1313))),"数量がありません","金額がありません")),IF(NOT(ISNUMBER(A1313)),"日付がありません（月別集計に入りません）",IF(AND(ISNUMBER(F1313),ISNUMBER(J1313),ISNUMBER(I1313)),"数量×単価を使いました（金額の欄は使っていません）","")))))))</f>
        <v/>
      </c>
      <c r="N1313" s="91">
        <f>IF(AND(B1313&lt;&gt;"",B1313='案件カード'!$C$3),COUNTIF($B$5:B1313,'案件カード'!$C$3),"")</f>
        <v/>
      </c>
      <c r="O1313" s="91">
        <f>IF(ISNUMBER(K1313),IF(B1313="",K1313,IF(AND(ISNUMBER(MATCH(B1313,'案件'!$A$6:$A$105,0)),OR(D1313="材料費",D1313="労務費",D1313="外注費",D1313="経費")),0,K1313)),0)</f>
        <v/>
      </c>
    </row>
    <row r="1314" ht="16" customHeight="1">
      <c r="A1314" s="35" t="n"/>
      <c r="B1314" s="36" t="n"/>
      <c r="C1314" s="37">
        <f>IF(B1314="","",IFERROR(INDEX('案件'!$B$6:$B$105,MATCH(B1314,'案件'!$A$6:$A$105,0))&amp;"","（案件シートに無い番号）"))</f>
        <v/>
      </c>
      <c r="D1314" s="36" t="n"/>
      <c r="E1314" s="38" t="n"/>
      <c r="F1314" s="39" t="n"/>
      <c r="G1314" s="36" t="n"/>
      <c r="H1314" s="40" t="n"/>
      <c r="I1314" s="40" t="n"/>
      <c r="J1314" s="41">
        <f>IF(ISNUMBER(H1314),H1314,IF(AND(D1314="労務費",TRIM(E1314)&lt;&gt;""),IFERROR(INDEX('設定'!$G$12:$G$31,MATCH(TRIM(E1314),'設定'!$J$12:$J$31,0)),""),""))</f>
        <v/>
      </c>
      <c r="K1314" s="30">
        <f>IF(AND(ISNUMBER(F1314),ISNUMBER(J1314)),ROUND(F1314*J1314,0),IF(ISNUMBER(I1314),I1314,""))</f>
        <v/>
      </c>
      <c r="L1314" s="33" t="n"/>
      <c r="M1314" s="34">
        <f>IF(COUNTA(A1314:B1314,D1314:I1314,L1314)=0,"",IF(B1314="","案件番号がありません",IF(ISNA(MATCH(B1314,'案件'!$A$6:$A$105,0)),"案件シートに無い番号です",IF(NOT(OR(D1314="材料費",D1314="労務費",D1314="外注費",D1314="経費")),"費目を4つから選んでください",IF(K1314="",IF(AND(ISNUMBER(F1314),NOT(ISNUMBER(J1314))),IF(D1314="労務費","単価がありません（設定の作業者名と同じ書き方に）","単価がありません"),IF(AND(ISNUMBER(J1314),NOT(ISNUMBER(F1314))),"数量がありません","金額がありません")),IF(NOT(ISNUMBER(A1314)),"日付がありません（月別集計に入りません）",IF(AND(ISNUMBER(F1314),ISNUMBER(J1314),ISNUMBER(I1314)),"数量×単価を使いました（金額の欄は使っていません）","")))))))</f>
        <v/>
      </c>
      <c r="N1314" s="91">
        <f>IF(AND(B1314&lt;&gt;"",B1314='案件カード'!$C$3),COUNTIF($B$5:B1314,'案件カード'!$C$3),"")</f>
        <v/>
      </c>
      <c r="O1314" s="91">
        <f>IF(ISNUMBER(K1314),IF(B1314="",K1314,IF(AND(ISNUMBER(MATCH(B1314,'案件'!$A$6:$A$105,0)),OR(D1314="材料費",D1314="労務費",D1314="外注費",D1314="経費")),0,K1314)),0)</f>
        <v/>
      </c>
    </row>
    <row r="1315" ht="16" customHeight="1">
      <c r="A1315" s="35" t="n"/>
      <c r="B1315" s="36" t="n"/>
      <c r="C1315" s="37">
        <f>IF(B1315="","",IFERROR(INDEX('案件'!$B$6:$B$105,MATCH(B1315,'案件'!$A$6:$A$105,0))&amp;"","（案件シートに無い番号）"))</f>
        <v/>
      </c>
      <c r="D1315" s="36" t="n"/>
      <c r="E1315" s="38" t="n"/>
      <c r="F1315" s="39" t="n"/>
      <c r="G1315" s="36" t="n"/>
      <c r="H1315" s="40" t="n"/>
      <c r="I1315" s="40" t="n"/>
      <c r="J1315" s="41">
        <f>IF(ISNUMBER(H1315),H1315,IF(AND(D1315="労務費",TRIM(E1315)&lt;&gt;""),IFERROR(INDEX('設定'!$G$12:$G$31,MATCH(TRIM(E1315),'設定'!$J$12:$J$31,0)),""),""))</f>
        <v/>
      </c>
      <c r="K1315" s="30">
        <f>IF(AND(ISNUMBER(F1315),ISNUMBER(J1315)),ROUND(F1315*J1315,0),IF(ISNUMBER(I1315),I1315,""))</f>
        <v/>
      </c>
      <c r="L1315" s="33" t="n"/>
      <c r="M1315" s="34">
        <f>IF(COUNTA(A1315:B1315,D1315:I1315,L1315)=0,"",IF(B1315="","案件番号がありません",IF(ISNA(MATCH(B1315,'案件'!$A$6:$A$105,0)),"案件シートに無い番号です",IF(NOT(OR(D1315="材料費",D1315="労務費",D1315="外注費",D1315="経費")),"費目を4つから選んでください",IF(K1315="",IF(AND(ISNUMBER(F1315),NOT(ISNUMBER(J1315))),IF(D1315="労務費","単価がありません（設定の作業者名と同じ書き方に）","単価がありません"),IF(AND(ISNUMBER(J1315),NOT(ISNUMBER(F1315))),"数量がありません","金額がありません")),IF(NOT(ISNUMBER(A1315)),"日付がありません（月別集計に入りません）",IF(AND(ISNUMBER(F1315),ISNUMBER(J1315),ISNUMBER(I1315)),"数量×単価を使いました（金額の欄は使っていません）","")))))))</f>
        <v/>
      </c>
      <c r="N1315" s="91">
        <f>IF(AND(B1315&lt;&gt;"",B1315='案件カード'!$C$3),COUNTIF($B$5:B1315,'案件カード'!$C$3),"")</f>
        <v/>
      </c>
      <c r="O1315" s="91">
        <f>IF(ISNUMBER(K1315),IF(B1315="",K1315,IF(AND(ISNUMBER(MATCH(B1315,'案件'!$A$6:$A$105,0)),OR(D1315="材料費",D1315="労務費",D1315="外注費",D1315="経費")),0,K1315)),0)</f>
        <v/>
      </c>
    </row>
    <row r="1316" ht="16" customHeight="1">
      <c r="A1316" s="35" t="n"/>
      <c r="B1316" s="36" t="n"/>
      <c r="C1316" s="37">
        <f>IF(B1316="","",IFERROR(INDEX('案件'!$B$6:$B$105,MATCH(B1316,'案件'!$A$6:$A$105,0))&amp;"","（案件シートに無い番号）"))</f>
        <v/>
      </c>
      <c r="D1316" s="36" t="n"/>
      <c r="E1316" s="38" t="n"/>
      <c r="F1316" s="39" t="n"/>
      <c r="G1316" s="36" t="n"/>
      <c r="H1316" s="40" t="n"/>
      <c r="I1316" s="40" t="n"/>
      <c r="J1316" s="41">
        <f>IF(ISNUMBER(H1316),H1316,IF(AND(D1316="労務費",TRIM(E1316)&lt;&gt;""),IFERROR(INDEX('設定'!$G$12:$G$31,MATCH(TRIM(E1316),'設定'!$J$12:$J$31,0)),""),""))</f>
        <v/>
      </c>
      <c r="K1316" s="30">
        <f>IF(AND(ISNUMBER(F1316),ISNUMBER(J1316)),ROUND(F1316*J1316,0),IF(ISNUMBER(I1316),I1316,""))</f>
        <v/>
      </c>
      <c r="L1316" s="33" t="n"/>
      <c r="M1316" s="34">
        <f>IF(COUNTA(A1316:B1316,D1316:I1316,L1316)=0,"",IF(B1316="","案件番号がありません",IF(ISNA(MATCH(B1316,'案件'!$A$6:$A$105,0)),"案件シートに無い番号です",IF(NOT(OR(D1316="材料費",D1316="労務費",D1316="外注費",D1316="経費")),"費目を4つから選んでください",IF(K1316="",IF(AND(ISNUMBER(F1316),NOT(ISNUMBER(J1316))),IF(D1316="労務費","単価がありません（設定の作業者名と同じ書き方に）","単価がありません"),IF(AND(ISNUMBER(J1316),NOT(ISNUMBER(F1316))),"数量がありません","金額がありません")),IF(NOT(ISNUMBER(A1316)),"日付がありません（月別集計に入りません）",IF(AND(ISNUMBER(F1316),ISNUMBER(J1316),ISNUMBER(I1316)),"数量×単価を使いました（金額の欄は使っていません）","")))))))</f>
        <v/>
      </c>
      <c r="N1316" s="91">
        <f>IF(AND(B1316&lt;&gt;"",B1316='案件カード'!$C$3),COUNTIF($B$5:B1316,'案件カード'!$C$3),"")</f>
        <v/>
      </c>
      <c r="O1316" s="91">
        <f>IF(ISNUMBER(K1316),IF(B1316="",K1316,IF(AND(ISNUMBER(MATCH(B1316,'案件'!$A$6:$A$105,0)),OR(D1316="材料費",D1316="労務費",D1316="外注費",D1316="経費")),0,K1316)),0)</f>
        <v/>
      </c>
    </row>
    <row r="1317" ht="16" customHeight="1">
      <c r="A1317" s="35" t="n"/>
      <c r="B1317" s="36" t="n"/>
      <c r="C1317" s="37">
        <f>IF(B1317="","",IFERROR(INDEX('案件'!$B$6:$B$105,MATCH(B1317,'案件'!$A$6:$A$105,0))&amp;"","（案件シートに無い番号）"))</f>
        <v/>
      </c>
      <c r="D1317" s="36" t="n"/>
      <c r="E1317" s="38" t="n"/>
      <c r="F1317" s="39" t="n"/>
      <c r="G1317" s="36" t="n"/>
      <c r="H1317" s="40" t="n"/>
      <c r="I1317" s="40" t="n"/>
      <c r="J1317" s="41">
        <f>IF(ISNUMBER(H1317),H1317,IF(AND(D1317="労務費",TRIM(E1317)&lt;&gt;""),IFERROR(INDEX('設定'!$G$12:$G$31,MATCH(TRIM(E1317),'設定'!$J$12:$J$31,0)),""),""))</f>
        <v/>
      </c>
      <c r="K1317" s="30">
        <f>IF(AND(ISNUMBER(F1317),ISNUMBER(J1317)),ROUND(F1317*J1317,0),IF(ISNUMBER(I1317),I1317,""))</f>
        <v/>
      </c>
      <c r="L1317" s="33" t="n"/>
      <c r="M1317" s="34">
        <f>IF(COUNTA(A1317:B1317,D1317:I1317,L1317)=0,"",IF(B1317="","案件番号がありません",IF(ISNA(MATCH(B1317,'案件'!$A$6:$A$105,0)),"案件シートに無い番号です",IF(NOT(OR(D1317="材料費",D1317="労務費",D1317="外注費",D1317="経費")),"費目を4つから選んでください",IF(K1317="",IF(AND(ISNUMBER(F1317),NOT(ISNUMBER(J1317))),IF(D1317="労務費","単価がありません（設定の作業者名と同じ書き方に）","単価がありません"),IF(AND(ISNUMBER(J1317),NOT(ISNUMBER(F1317))),"数量がありません","金額がありません")),IF(NOT(ISNUMBER(A1317)),"日付がありません（月別集計に入りません）",IF(AND(ISNUMBER(F1317),ISNUMBER(J1317),ISNUMBER(I1317)),"数量×単価を使いました（金額の欄は使っていません）","")))))))</f>
        <v/>
      </c>
      <c r="N1317" s="91">
        <f>IF(AND(B1317&lt;&gt;"",B1317='案件カード'!$C$3),COUNTIF($B$5:B1317,'案件カード'!$C$3),"")</f>
        <v/>
      </c>
      <c r="O1317" s="91">
        <f>IF(ISNUMBER(K1317),IF(B1317="",K1317,IF(AND(ISNUMBER(MATCH(B1317,'案件'!$A$6:$A$105,0)),OR(D1317="材料費",D1317="労務費",D1317="外注費",D1317="経費")),0,K1317)),0)</f>
        <v/>
      </c>
    </row>
    <row r="1318" ht="16" customHeight="1">
      <c r="A1318" s="35" t="n"/>
      <c r="B1318" s="36" t="n"/>
      <c r="C1318" s="37">
        <f>IF(B1318="","",IFERROR(INDEX('案件'!$B$6:$B$105,MATCH(B1318,'案件'!$A$6:$A$105,0))&amp;"","（案件シートに無い番号）"))</f>
        <v/>
      </c>
      <c r="D1318" s="36" t="n"/>
      <c r="E1318" s="38" t="n"/>
      <c r="F1318" s="39" t="n"/>
      <c r="G1318" s="36" t="n"/>
      <c r="H1318" s="40" t="n"/>
      <c r="I1318" s="40" t="n"/>
      <c r="J1318" s="41">
        <f>IF(ISNUMBER(H1318),H1318,IF(AND(D1318="労務費",TRIM(E1318)&lt;&gt;""),IFERROR(INDEX('設定'!$G$12:$G$31,MATCH(TRIM(E1318),'設定'!$J$12:$J$31,0)),""),""))</f>
        <v/>
      </c>
      <c r="K1318" s="30">
        <f>IF(AND(ISNUMBER(F1318),ISNUMBER(J1318)),ROUND(F1318*J1318,0),IF(ISNUMBER(I1318),I1318,""))</f>
        <v/>
      </c>
      <c r="L1318" s="33" t="n"/>
      <c r="M1318" s="34">
        <f>IF(COUNTA(A1318:B1318,D1318:I1318,L1318)=0,"",IF(B1318="","案件番号がありません",IF(ISNA(MATCH(B1318,'案件'!$A$6:$A$105,0)),"案件シートに無い番号です",IF(NOT(OR(D1318="材料費",D1318="労務費",D1318="外注費",D1318="経費")),"費目を4つから選んでください",IF(K1318="",IF(AND(ISNUMBER(F1318),NOT(ISNUMBER(J1318))),IF(D1318="労務費","単価がありません（設定の作業者名と同じ書き方に）","単価がありません"),IF(AND(ISNUMBER(J1318),NOT(ISNUMBER(F1318))),"数量がありません","金額がありません")),IF(NOT(ISNUMBER(A1318)),"日付がありません（月別集計に入りません）",IF(AND(ISNUMBER(F1318),ISNUMBER(J1318),ISNUMBER(I1318)),"数量×単価を使いました（金額の欄は使っていません）","")))))))</f>
        <v/>
      </c>
      <c r="N1318" s="91">
        <f>IF(AND(B1318&lt;&gt;"",B1318='案件カード'!$C$3),COUNTIF($B$5:B1318,'案件カード'!$C$3),"")</f>
        <v/>
      </c>
      <c r="O1318" s="91">
        <f>IF(ISNUMBER(K1318),IF(B1318="",K1318,IF(AND(ISNUMBER(MATCH(B1318,'案件'!$A$6:$A$105,0)),OR(D1318="材料費",D1318="労務費",D1318="外注費",D1318="経費")),0,K1318)),0)</f>
        <v/>
      </c>
    </row>
    <row r="1319" ht="16" customHeight="1">
      <c r="A1319" s="35" t="n"/>
      <c r="B1319" s="36" t="n"/>
      <c r="C1319" s="37">
        <f>IF(B1319="","",IFERROR(INDEX('案件'!$B$6:$B$105,MATCH(B1319,'案件'!$A$6:$A$105,0))&amp;"","（案件シートに無い番号）"))</f>
        <v/>
      </c>
      <c r="D1319" s="36" t="n"/>
      <c r="E1319" s="38" t="n"/>
      <c r="F1319" s="39" t="n"/>
      <c r="G1319" s="36" t="n"/>
      <c r="H1319" s="40" t="n"/>
      <c r="I1319" s="40" t="n"/>
      <c r="J1319" s="41">
        <f>IF(ISNUMBER(H1319),H1319,IF(AND(D1319="労務費",TRIM(E1319)&lt;&gt;""),IFERROR(INDEX('設定'!$G$12:$G$31,MATCH(TRIM(E1319),'設定'!$J$12:$J$31,0)),""),""))</f>
        <v/>
      </c>
      <c r="K1319" s="30">
        <f>IF(AND(ISNUMBER(F1319),ISNUMBER(J1319)),ROUND(F1319*J1319,0),IF(ISNUMBER(I1319),I1319,""))</f>
        <v/>
      </c>
      <c r="L1319" s="33" t="n"/>
      <c r="M1319" s="34">
        <f>IF(COUNTA(A1319:B1319,D1319:I1319,L1319)=0,"",IF(B1319="","案件番号がありません",IF(ISNA(MATCH(B1319,'案件'!$A$6:$A$105,0)),"案件シートに無い番号です",IF(NOT(OR(D1319="材料費",D1319="労務費",D1319="外注費",D1319="経費")),"費目を4つから選んでください",IF(K1319="",IF(AND(ISNUMBER(F1319),NOT(ISNUMBER(J1319))),IF(D1319="労務費","単価がありません（設定の作業者名と同じ書き方に）","単価がありません"),IF(AND(ISNUMBER(J1319),NOT(ISNUMBER(F1319))),"数量がありません","金額がありません")),IF(NOT(ISNUMBER(A1319)),"日付がありません（月別集計に入りません）",IF(AND(ISNUMBER(F1319),ISNUMBER(J1319),ISNUMBER(I1319)),"数量×単価を使いました（金額の欄は使っていません）","")))))))</f>
        <v/>
      </c>
      <c r="N1319" s="91">
        <f>IF(AND(B1319&lt;&gt;"",B1319='案件カード'!$C$3),COUNTIF($B$5:B1319,'案件カード'!$C$3),"")</f>
        <v/>
      </c>
      <c r="O1319" s="91">
        <f>IF(ISNUMBER(K1319),IF(B1319="",K1319,IF(AND(ISNUMBER(MATCH(B1319,'案件'!$A$6:$A$105,0)),OR(D1319="材料費",D1319="労務費",D1319="外注費",D1319="経費")),0,K1319)),0)</f>
        <v/>
      </c>
    </row>
    <row r="1320" ht="16" customHeight="1">
      <c r="A1320" s="35" t="n"/>
      <c r="B1320" s="36" t="n"/>
      <c r="C1320" s="37">
        <f>IF(B1320="","",IFERROR(INDEX('案件'!$B$6:$B$105,MATCH(B1320,'案件'!$A$6:$A$105,0))&amp;"","（案件シートに無い番号）"))</f>
        <v/>
      </c>
      <c r="D1320" s="36" t="n"/>
      <c r="E1320" s="38" t="n"/>
      <c r="F1320" s="39" t="n"/>
      <c r="G1320" s="36" t="n"/>
      <c r="H1320" s="40" t="n"/>
      <c r="I1320" s="40" t="n"/>
      <c r="J1320" s="41">
        <f>IF(ISNUMBER(H1320),H1320,IF(AND(D1320="労務費",TRIM(E1320)&lt;&gt;""),IFERROR(INDEX('設定'!$G$12:$G$31,MATCH(TRIM(E1320),'設定'!$J$12:$J$31,0)),""),""))</f>
        <v/>
      </c>
      <c r="K1320" s="30">
        <f>IF(AND(ISNUMBER(F1320),ISNUMBER(J1320)),ROUND(F1320*J1320,0),IF(ISNUMBER(I1320),I1320,""))</f>
        <v/>
      </c>
      <c r="L1320" s="33" t="n"/>
      <c r="M1320" s="34">
        <f>IF(COUNTA(A1320:B1320,D1320:I1320,L1320)=0,"",IF(B1320="","案件番号がありません",IF(ISNA(MATCH(B1320,'案件'!$A$6:$A$105,0)),"案件シートに無い番号です",IF(NOT(OR(D1320="材料費",D1320="労務費",D1320="外注費",D1320="経費")),"費目を4つから選んでください",IF(K1320="",IF(AND(ISNUMBER(F1320),NOT(ISNUMBER(J1320))),IF(D1320="労務費","単価がありません（設定の作業者名と同じ書き方に）","単価がありません"),IF(AND(ISNUMBER(J1320),NOT(ISNUMBER(F1320))),"数量がありません","金額がありません")),IF(NOT(ISNUMBER(A1320)),"日付がありません（月別集計に入りません）",IF(AND(ISNUMBER(F1320),ISNUMBER(J1320),ISNUMBER(I1320)),"数量×単価を使いました（金額の欄は使っていません）","")))))))</f>
        <v/>
      </c>
      <c r="N1320" s="91">
        <f>IF(AND(B1320&lt;&gt;"",B1320='案件カード'!$C$3),COUNTIF($B$5:B1320,'案件カード'!$C$3),"")</f>
        <v/>
      </c>
      <c r="O1320" s="91">
        <f>IF(ISNUMBER(K1320),IF(B1320="",K1320,IF(AND(ISNUMBER(MATCH(B1320,'案件'!$A$6:$A$105,0)),OR(D1320="材料費",D1320="労務費",D1320="外注費",D1320="経費")),0,K1320)),0)</f>
        <v/>
      </c>
    </row>
    <row r="1321" ht="16" customHeight="1">
      <c r="A1321" s="35" t="n"/>
      <c r="B1321" s="36" t="n"/>
      <c r="C1321" s="37">
        <f>IF(B1321="","",IFERROR(INDEX('案件'!$B$6:$B$105,MATCH(B1321,'案件'!$A$6:$A$105,0))&amp;"","（案件シートに無い番号）"))</f>
        <v/>
      </c>
      <c r="D1321" s="36" t="n"/>
      <c r="E1321" s="38" t="n"/>
      <c r="F1321" s="39" t="n"/>
      <c r="G1321" s="36" t="n"/>
      <c r="H1321" s="40" t="n"/>
      <c r="I1321" s="40" t="n"/>
      <c r="J1321" s="41">
        <f>IF(ISNUMBER(H1321),H1321,IF(AND(D1321="労務費",TRIM(E1321)&lt;&gt;""),IFERROR(INDEX('設定'!$G$12:$G$31,MATCH(TRIM(E1321),'設定'!$J$12:$J$31,0)),""),""))</f>
        <v/>
      </c>
      <c r="K1321" s="30">
        <f>IF(AND(ISNUMBER(F1321),ISNUMBER(J1321)),ROUND(F1321*J1321,0),IF(ISNUMBER(I1321),I1321,""))</f>
        <v/>
      </c>
      <c r="L1321" s="33" t="n"/>
      <c r="M1321" s="34">
        <f>IF(COUNTA(A1321:B1321,D1321:I1321,L1321)=0,"",IF(B1321="","案件番号がありません",IF(ISNA(MATCH(B1321,'案件'!$A$6:$A$105,0)),"案件シートに無い番号です",IF(NOT(OR(D1321="材料費",D1321="労務費",D1321="外注費",D1321="経費")),"費目を4つから選んでください",IF(K1321="",IF(AND(ISNUMBER(F1321),NOT(ISNUMBER(J1321))),IF(D1321="労務費","単価がありません（設定の作業者名と同じ書き方に）","単価がありません"),IF(AND(ISNUMBER(J1321),NOT(ISNUMBER(F1321))),"数量がありません","金額がありません")),IF(NOT(ISNUMBER(A1321)),"日付がありません（月別集計に入りません）",IF(AND(ISNUMBER(F1321),ISNUMBER(J1321),ISNUMBER(I1321)),"数量×単価を使いました（金額の欄は使っていません）","")))))))</f>
        <v/>
      </c>
      <c r="N1321" s="91">
        <f>IF(AND(B1321&lt;&gt;"",B1321='案件カード'!$C$3),COUNTIF($B$5:B1321,'案件カード'!$C$3),"")</f>
        <v/>
      </c>
      <c r="O1321" s="91">
        <f>IF(ISNUMBER(K1321),IF(B1321="",K1321,IF(AND(ISNUMBER(MATCH(B1321,'案件'!$A$6:$A$105,0)),OR(D1321="材料費",D1321="労務費",D1321="外注費",D1321="経費")),0,K1321)),0)</f>
        <v/>
      </c>
    </row>
    <row r="1322" ht="16" customHeight="1">
      <c r="A1322" s="35" t="n"/>
      <c r="B1322" s="36" t="n"/>
      <c r="C1322" s="37">
        <f>IF(B1322="","",IFERROR(INDEX('案件'!$B$6:$B$105,MATCH(B1322,'案件'!$A$6:$A$105,0))&amp;"","（案件シートに無い番号）"))</f>
        <v/>
      </c>
      <c r="D1322" s="36" t="n"/>
      <c r="E1322" s="38" t="n"/>
      <c r="F1322" s="39" t="n"/>
      <c r="G1322" s="36" t="n"/>
      <c r="H1322" s="40" t="n"/>
      <c r="I1322" s="40" t="n"/>
      <c r="J1322" s="41">
        <f>IF(ISNUMBER(H1322),H1322,IF(AND(D1322="労務費",TRIM(E1322)&lt;&gt;""),IFERROR(INDEX('設定'!$G$12:$G$31,MATCH(TRIM(E1322),'設定'!$J$12:$J$31,0)),""),""))</f>
        <v/>
      </c>
      <c r="K1322" s="30">
        <f>IF(AND(ISNUMBER(F1322),ISNUMBER(J1322)),ROUND(F1322*J1322,0),IF(ISNUMBER(I1322),I1322,""))</f>
        <v/>
      </c>
      <c r="L1322" s="33" t="n"/>
      <c r="M1322" s="34">
        <f>IF(COUNTA(A1322:B1322,D1322:I1322,L1322)=0,"",IF(B1322="","案件番号がありません",IF(ISNA(MATCH(B1322,'案件'!$A$6:$A$105,0)),"案件シートに無い番号です",IF(NOT(OR(D1322="材料費",D1322="労務費",D1322="外注費",D1322="経費")),"費目を4つから選んでください",IF(K1322="",IF(AND(ISNUMBER(F1322),NOT(ISNUMBER(J1322))),IF(D1322="労務費","単価がありません（設定の作業者名と同じ書き方に）","単価がありません"),IF(AND(ISNUMBER(J1322),NOT(ISNUMBER(F1322))),"数量がありません","金額がありません")),IF(NOT(ISNUMBER(A1322)),"日付がありません（月別集計に入りません）",IF(AND(ISNUMBER(F1322),ISNUMBER(J1322),ISNUMBER(I1322)),"数量×単価を使いました（金額の欄は使っていません）","")))))))</f>
        <v/>
      </c>
      <c r="N1322" s="91">
        <f>IF(AND(B1322&lt;&gt;"",B1322='案件カード'!$C$3),COUNTIF($B$5:B1322,'案件カード'!$C$3),"")</f>
        <v/>
      </c>
      <c r="O1322" s="91">
        <f>IF(ISNUMBER(K1322),IF(B1322="",K1322,IF(AND(ISNUMBER(MATCH(B1322,'案件'!$A$6:$A$105,0)),OR(D1322="材料費",D1322="労務費",D1322="外注費",D1322="経費")),0,K1322)),0)</f>
        <v/>
      </c>
    </row>
    <row r="1323" ht="16" customHeight="1">
      <c r="A1323" s="35" t="n"/>
      <c r="B1323" s="36" t="n"/>
      <c r="C1323" s="37">
        <f>IF(B1323="","",IFERROR(INDEX('案件'!$B$6:$B$105,MATCH(B1323,'案件'!$A$6:$A$105,0))&amp;"","（案件シートに無い番号）"))</f>
        <v/>
      </c>
      <c r="D1323" s="36" t="n"/>
      <c r="E1323" s="38" t="n"/>
      <c r="F1323" s="39" t="n"/>
      <c r="G1323" s="36" t="n"/>
      <c r="H1323" s="40" t="n"/>
      <c r="I1323" s="40" t="n"/>
      <c r="J1323" s="41">
        <f>IF(ISNUMBER(H1323),H1323,IF(AND(D1323="労務費",TRIM(E1323)&lt;&gt;""),IFERROR(INDEX('設定'!$G$12:$G$31,MATCH(TRIM(E1323),'設定'!$J$12:$J$31,0)),""),""))</f>
        <v/>
      </c>
      <c r="K1323" s="30">
        <f>IF(AND(ISNUMBER(F1323),ISNUMBER(J1323)),ROUND(F1323*J1323,0),IF(ISNUMBER(I1323),I1323,""))</f>
        <v/>
      </c>
      <c r="L1323" s="33" t="n"/>
      <c r="M1323" s="34">
        <f>IF(COUNTA(A1323:B1323,D1323:I1323,L1323)=0,"",IF(B1323="","案件番号がありません",IF(ISNA(MATCH(B1323,'案件'!$A$6:$A$105,0)),"案件シートに無い番号です",IF(NOT(OR(D1323="材料費",D1323="労務費",D1323="外注費",D1323="経費")),"費目を4つから選んでください",IF(K1323="",IF(AND(ISNUMBER(F1323),NOT(ISNUMBER(J1323))),IF(D1323="労務費","単価がありません（設定の作業者名と同じ書き方に）","単価がありません"),IF(AND(ISNUMBER(J1323),NOT(ISNUMBER(F1323))),"数量がありません","金額がありません")),IF(NOT(ISNUMBER(A1323)),"日付がありません（月別集計に入りません）",IF(AND(ISNUMBER(F1323),ISNUMBER(J1323),ISNUMBER(I1323)),"数量×単価を使いました（金額の欄は使っていません）","")))))))</f>
        <v/>
      </c>
      <c r="N1323" s="91">
        <f>IF(AND(B1323&lt;&gt;"",B1323='案件カード'!$C$3),COUNTIF($B$5:B1323,'案件カード'!$C$3),"")</f>
        <v/>
      </c>
      <c r="O1323" s="91">
        <f>IF(ISNUMBER(K1323),IF(B1323="",K1323,IF(AND(ISNUMBER(MATCH(B1323,'案件'!$A$6:$A$105,0)),OR(D1323="材料費",D1323="労務費",D1323="外注費",D1323="経費")),0,K1323)),0)</f>
        <v/>
      </c>
    </row>
    <row r="1324" ht="16" customHeight="1">
      <c r="A1324" s="35" t="n"/>
      <c r="B1324" s="36" t="n"/>
      <c r="C1324" s="37">
        <f>IF(B1324="","",IFERROR(INDEX('案件'!$B$6:$B$105,MATCH(B1324,'案件'!$A$6:$A$105,0))&amp;"","（案件シートに無い番号）"))</f>
        <v/>
      </c>
      <c r="D1324" s="36" t="n"/>
      <c r="E1324" s="38" t="n"/>
      <c r="F1324" s="39" t="n"/>
      <c r="G1324" s="36" t="n"/>
      <c r="H1324" s="40" t="n"/>
      <c r="I1324" s="40" t="n"/>
      <c r="J1324" s="41">
        <f>IF(ISNUMBER(H1324),H1324,IF(AND(D1324="労務費",TRIM(E1324)&lt;&gt;""),IFERROR(INDEX('設定'!$G$12:$G$31,MATCH(TRIM(E1324),'設定'!$J$12:$J$31,0)),""),""))</f>
        <v/>
      </c>
      <c r="K1324" s="30">
        <f>IF(AND(ISNUMBER(F1324),ISNUMBER(J1324)),ROUND(F1324*J1324,0),IF(ISNUMBER(I1324),I1324,""))</f>
        <v/>
      </c>
      <c r="L1324" s="33" t="n"/>
      <c r="M1324" s="34">
        <f>IF(COUNTA(A1324:B1324,D1324:I1324,L1324)=0,"",IF(B1324="","案件番号がありません",IF(ISNA(MATCH(B1324,'案件'!$A$6:$A$105,0)),"案件シートに無い番号です",IF(NOT(OR(D1324="材料費",D1324="労務費",D1324="外注費",D1324="経費")),"費目を4つから選んでください",IF(K1324="",IF(AND(ISNUMBER(F1324),NOT(ISNUMBER(J1324))),IF(D1324="労務費","単価がありません（設定の作業者名と同じ書き方に）","単価がありません"),IF(AND(ISNUMBER(J1324),NOT(ISNUMBER(F1324))),"数量がありません","金額がありません")),IF(NOT(ISNUMBER(A1324)),"日付がありません（月別集計に入りません）",IF(AND(ISNUMBER(F1324),ISNUMBER(J1324),ISNUMBER(I1324)),"数量×単価を使いました（金額の欄は使っていません）","")))))))</f>
        <v/>
      </c>
      <c r="N1324" s="91">
        <f>IF(AND(B1324&lt;&gt;"",B1324='案件カード'!$C$3),COUNTIF($B$5:B1324,'案件カード'!$C$3),"")</f>
        <v/>
      </c>
      <c r="O1324" s="91">
        <f>IF(ISNUMBER(K1324),IF(B1324="",K1324,IF(AND(ISNUMBER(MATCH(B1324,'案件'!$A$6:$A$105,0)),OR(D1324="材料費",D1324="労務費",D1324="外注費",D1324="経費")),0,K1324)),0)</f>
        <v/>
      </c>
    </row>
    <row r="1325" ht="16" customHeight="1">
      <c r="A1325" s="35" t="n"/>
      <c r="B1325" s="36" t="n"/>
      <c r="C1325" s="37">
        <f>IF(B1325="","",IFERROR(INDEX('案件'!$B$6:$B$105,MATCH(B1325,'案件'!$A$6:$A$105,0))&amp;"","（案件シートに無い番号）"))</f>
        <v/>
      </c>
      <c r="D1325" s="36" t="n"/>
      <c r="E1325" s="38" t="n"/>
      <c r="F1325" s="39" t="n"/>
      <c r="G1325" s="36" t="n"/>
      <c r="H1325" s="40" t="n"/>
      <c r="I1325" s="40" t="n"/>
      <c r="J1325" s="41">
        <f>IF(ISNUMBER(H1325),H1325,IF(AND(D1325="労務費",TRIM(E1325)&lt;&gt;""),IFERROR(INDEX('設定'!$G$12:$G$31,MATCH(TRIM(E1325),'設定'!$J$12:$J$31,0)),""),""))</f>
        <v/>
      </c>
      <c r="K1325" s="30">
        <f>IF(AND(ISNUMBER(F1325),ISNUMBER(J1325)),ROUND(F1325*J1325,0),IF(ISNUMBER(I1325),I1325,""))</f>
        <v/>
      </c>
      <c r="L1325" s="33" t="n"/>
      <c r="M1325" s="34">
        <f>IF(COUNTA(A1325:B1325,D1325:I1325,L1325)=0,"",IF(B1325="","案件番号がありません",IF(ISNA(MATCH(B1325,'案件'!$A$6:$A$105,0)),"案件シートに無い番号です",IF(NOT(OR(D1325="材料費",D1325="労務費",D1325="外注費",D1325="経費")),"費目を4つから選んでください",IF(K1325="",IF(AND(ISNUMBER(F1325),NOT(ISNUMBER(J1325))),IF(D1325="労務費","単価がありません（設定の作業者名と同じ書き方に）","単価がありません"),IF(AND(ISNUMBER(J1325),NOT(ISNUMBER(F1325))),"数量がありません","金額がありません")),IF(NOT(ISNUMBER(A1325)),"日付がありません（月別集計に入りません）",IF(AND(ISNUMBER(F1325),ISNUMBER(J1325),ISNUMBER(I1325)),"数量×単価を使いました（金額の欄は使っていません）","")))))))</f>
        <v/>
      </c>
      <c r="N1325" s="91">
        <f>IF(AND(B1325&lt;&gt;"",B1325='案件カード'!$C$3),COUNTIF($B$5:B1325,'案件カード'!$C$3),"")</f>
        <v/>
      </c>
      <c r="O1325" s="91">
        <f>IF(ISNUMBER(K1325),IF(B1325="",K1325,IF(AND(ISNUMBER(MATCH(B1325,'案件'!$A$6:$A$105,0)),OR(D1325="材料費",D1325="労務費",D1325="外注費",D1325="経費")),0,K1325)),0)</f>
        <v/>
      </c>
    </row>
    <row r="1326" ht="16" customHeight="1">
      <c r="A1326" s="35" t="n"/>
      <c r="B1326" s="36" t="n"/>
      <c r="C1326" s="37">
        <f>IF(B1326="","",IFERROR(INDEX('案件'!$B$6:$B$105,MATCH(B1326,'案件'!$A$6:$A$105,0))&amp;"","（案件シートに無い番号）"))</f>
        <v/>
      </c>
      <c r="D1326" s="36" t="n"/>
      <c r="E1326" s="38" t="n"/>
      <c r="F1326" s="39" t="n"/>
      <c r="G1326" s="36" t="n"/>
      <c r="H1326" s="40" t="n"/>
      <c r="I1326" s="40" t="n"/>
      <c r="J1326" s="41">
        <f>IF(ISNUMBER(H1326),H1326,IF(AND(D1326="労務費",TRIM(E1326)&lt;&gt;""),IFERROR(INDEX('設定'!$G$12:$G$31,MATCH(TRIM(E1326),'設定'!$J$12:$J$31,0)),""),""))</f>
        <v/>
      </c>
      <c r="K1326" s="30">
        <f>IF(AND(ISNUMBER(F1326),ISNUMBER(J1326)),ROUND(F1326*J1326,0),IF(ISNUMBER(I1326),I1326,""))</f>
        <v/>
      </c>
      <c r="L1326" s="33" t="n"/>
      <c r="M1326" s="34">
        <f>IF(COUNTA(A1326:B1326,D1326:I1326,L1326)=0,"",IF(B1326="","案件番号がありません",IF(ISNA(MATCH(B1326,'案件'!$A$6:$A$105,0)),"案件シートに無い番号です",IF(NOT(OR(D1326="材料費",D1326="労務費",D1326="外注費",D1326="経費")),"費目を4つから選んでください",IF(K1326="",IF(AND(ISNUMBER(F1326),NOT(ISNUMBER(J1326))),IF(D1326="労務費","単価がありません（設定の作業者名と同じ書き方に）","単価がありません"),IF(AND(ISNUMBER(J1326),NOT(ISNUMBER(F1326))),"数量がありません","金額がありません")),IF(NOT(ISNUMBER(A1326)),"日付がありません（月別集計に入りません）",IF(AND(ISNUMBER(F1326),ISNUMBER(J1326),ISNUMBER(I1326)),"数量×単価を使いました（金額の欄は使っていません）","")))))))</f>
        <v/>
      </c>
      <c r="N1326" s="91">
        <f>IF(AND(B1326&lt;&gt;"",B1326='案件カード'!$C$3),COUNTIF($B$5:B1326,'案件カード'!$C$3),"")</f>
        <v/>
      </c>
      <c r="O1326" s="91">
        <f>IF(ISNUMBER(K1326),IF(B1326="",K1326,IF(AND(ISNUMBER(MATCH(B1326,'案件'!$A$6:$A$105,0)),OR(D1326="材料費",D1326="労務費",D1326="外注費",D1326="経費")),0,K1326)),0)</f>
        <v/>
      </c>
    </row>
    <row r="1327" ht="16" customHeight="1">
      <c r="A1327" s="35" t="n"/>
      <c r="B1327" s="36" t="n"/>
      <c r="C1327" s="37">
        <f>IF(B1327="","",IFERROR(INDEX('案件'!$B$6:$B$105,MATCH(B1327,'案件'!$A$6:$A$105,0))&amp;"","（案件シートに無い番号）"))</f>
        <v/>
      </c>
      <c r="D1327" s="36" t="n"/>
      <c r="E1327" s="38" t="n"/>
      <c r="F1327" s="39" t="n"/>
      <c r="G1327" s="36" t="n"/>
      <c r="H1327" s="40" t="n"/>
      <c r="I1327" s="40" t="n"/>
      <c r="J1327" s="41">
        <f>IF(ISNUMBER(H1327),H1327,IF(AND(D1327="労務費",TRIM(E1327)&lt;&gt;""),IFERROR(INDEX('設定'!$G$12:$G$31,MATCH(TRIM(E1327),'設定'!$J$12:$J$31,0)),""),""))</f>
        <v/>
      </c>
      <c r="K1327" s="30">
        <f>IF(AND(ISNUMBER(F1327),ISNUMBER(J1327)),ROUND(F1327*J1327,0),IF(ISNUMBER(I1327),I1327,""))</f>
        <v/>
      </c>
      <c r="L1327" s="33" t="n"/>
      <c r="M1327" s="34">
        <f>IF(COUNTA(A1327:B1327,D1327:I1327,L1327)=0,"",IF(B1327="","案件番号がありません",IF(ISNA(MATCH(B1327,'案件'!$A$6:$A$105,0)),"案件シートに無い番号です",IF(NOT(OR(D1327="材料費",D1327="労務費",D1327="外注費",D1327="経費")),"費目を4つから選んでください",IF(K1327="",IF(AND(ISNUMBER(F1327),NOT(ISNUMBER(J1327))),IF(D1327="労務費","単価がありません（設定の作業者名と同じ書き方に）","単価がありません"),IF(AND(ISNUMBER(J1327),NOT(ISNUMBER(F1327))),"数量がありません","金額がありません")),IF(NOT(ISNUMBER(A1327)),"日付がありません（月別集計に入りません）",IF(AND(ISNUMBER(F1327),ISNUMBER(J1327),ISNUMBER(I1327)),"数量×単価を使いました（金額の欄は使っていません）","")))))))</f>
        <v/>
      </c>
      <c r="N1327" s="91">
        <f>IF(AND(B1327&lt;&gt;"",B1327='案件カード'!$C$3),COUNTIF($B$5:B1327,'案件カード'!$C$3),"")</f>
        <v/>
      </c>
      <c r="O1327" s="91">
        <f>IF(ISNUMBER(K1327),IF(B1327="",K1327,IF(AND(ISNUMBER(MATCH(B1327,'案件'!$A$6:$A$105,0)),OR(D1327="材料費",D1327="労務費",D1327="外注費",D1327="経費")),0,K1327)),0)</f>
        <v/>
      </c>
    </row>
    <row r="1328" ht="16" customHeight="1">
      <c r="A1328" s="35" t="n"/>
      <c r="B1328" s="36" t="n"/>
      <c r="C1328" s="37">
        <f>IF(B1328="","",IFERROR(INDEX('案件'!$B$6:$B$105,MATCH(B1328,'案件'!$A$6:$A$105,0))&amp;"","（案件シートに無い番号）"))</f>
        <v/>
      </c>
      <c r="D1328" s="36" t="n"/>
      <c r="E1328" s="38" t="n"/>
      <c r="F1328" s="39" t="n"/>
      <c r="G1328" s="36" t="n"/>
      <c r="H1328" s="40" t="n"/>
      <c r="I1328" s="40" t="n"/>
      <c r="J1328" s="41">
        <f>IF(ISNUMBER(H1328),H1328,IF(AND(D1328="労務費",TRIM(E1328)&lt;&gt;""),IFERROR(INDEX('設定'!$G$12:$G$31,MATCH(TRIM(E1328),'設定'!$J$12:$J$31,0)),""),""))</f>
        <v/>
      </c>
      <c r="K1328" s="30">
        <f>IF(AND(ISNUMBER(F1328),ISNUMBER(J1328)),ROUND(F1328*J1328,0),IF(ISNUMBER(I1328),I1328,""))</f>
        <v/>
      </c>
      <c r="L1328" s="33" t="n"/>
      <c r="M1328" s="34">
        <f>IF(COUNTA(A1328:B1328,D1328:I1328,L1328)=0,"",IF(B1328="","案件番号がありません",IF(ISNA(MATCH(B1328,'案件'!$A$6:$A$105,0)),"案件シートに無い番号です",IF(NOT(OR(D1328="材料費",D1328="労務費",D1328="外注費",D1328="経費")),"費目を4つから選んでください",IF(K1328="",IF(AND(ISNUMBER(F1328),NOT(ISNUMBER(J1328))),IF(D1328="労務費","単価がありません（設定の作業者名と同じ書き方に）","単価がありません"),IF(AND(ISNUMBER(J1328),NOT(ISNUMBER(F1328))),"数量がありません","金額がありません")),IF(NOT(ISNUMBER(A1328)),"日付がありません（月別集計に入りません）",IF(AND(ISNUMBER(F1328),ISNUMBER(J1328),ISNUMBER(I1328)),"数量×単価を使いました（金額の欄は使っていません）","")))))))</f>
        <v/>
      </c>
      <c r="N1328" s="91">
        <f>IF(AND(B1328&lt;&gt;"",B1328='案件カード'!$C$3),COUNTIF($B$5:B1328,'案件カード'!$C$3),"")</f>
        <v/>
      </c>
      <c r="O1328" s="91">
        <f>IF(ISNUMBER(K1328),IF(B1328="",K1328,IF(AND(ISNUMBER(MATCH(B1328,'案件'!$A$6:$A$105,0)),OR(D1328="材料費",D1328="労務費",D1328="外注費",D1328="経費")),0,K1328)),0)</f>
        <v/>
      </c>
    </row>
    <row r="1329" ht="16" customHeight="1">
      <c r="A1329" s="35" t="n"/>
      <c r="B1329" s="36" t="n"/>
      <c r="C1329" s="37">
        <f>IF(B1329="","",IFERROR(INDEX('案件'!$B$6:$B$105,MATCH(B1329,'案件'!$A$6:$A$105,0))&amp;"","（案件シートに無い番号）"))</f>
        <v/>
      </c>
      <c r="D1329" s="36" t="n"/>
      <c r="E1329" s="38" t="n"/>
      <c r="F1329" s="39" t="n"/>
      <c r="G1329" s="36" t="n"/>
      <c r="H1329" s="40" t="n"/>
      <c r="I1329" s="40" t="n"/>
      <c r="J1329" s="41">
        <f>IF(ISNUMBER(H1329),H1329,IF(AND(D1329="労務費",TRIM(E1329)&lt;&gt;""),IFERROR(INDEX('設定'!$G$12:$G$31,MATCH(TRIM(E1329),'設定'!$J$12:$J$31,0)),""),""))</f>
        <v/>
      </c>
      <c r="K1329" s="30">
        <f>IF(AND(ISNUMBER(F1329),ISNUMBER(J1329)),ROUND(F1329*J1329,0),IF(ISNUMBER(I1329),I1329,""))</f>
        <v/>
      </c>
      <c r="L1329" s="33" t="n"/>
      <c r="M1329" s="34">
        <f>IF(COUNTA(A1329:B1329,D1329:I1329,L1329)=0,"",IF(B1329="","案件番号がありません",IF(ISNA(MATCH(B1329,'案件'!$A$6:$A$105,0)),"案件シートに無い番号です",IF(NOT(OR(D1329="材料費",D1329="労務費",D1329="外注費",D1329="経費")),"費目を4つから選んでください",IF(K1329="",IF(AND(ISNUMBER(F1329),NOT(ISNUMBER(J1329))),IF(D1329="労務費","単価がありません（設定の作業者名と同じ書き方に）","単価がありません"),IF(AND(ISNUMBER(J1329),NOT(ISNUMBER(F1329))),"数量がありません","金額がありません")),IF(NOT(ISNUMBER(A1329)),"日付がありません（月別集計に入りません）",IF(AND(ISNUMBER(F1329),ISNUMBER(J1329),ISNUMBER(I1329)),"数量×単価を使いました（金額の欄は使っていません）","")))))))</f>
        <v/>
      </c>
      <c r="N1329" s="91">
        <f>IF(AND(B1329&lt;&gt;"",B1329='案件カード'!$C$3),COUNTIF($B$5:B1329,'案件カード'!$C$3),"")</f>
        <v/>
      </c>
      <c r="O1329" s="91">
        <f>IF(ISNUMBER(K1329),IF(B1329="",K1329,IF(AND(ISNUMBER(MATCH(B1329,'案件'!$A$6:$A$105,0)),OR(D1329="材料費",D1329="労務費",D1329="外注費",D1329="経費")),0,K1329)),0)</f>
        <v/>
      </c>
    </row>
    <row r="1330" ht="16" customHeight="1">
      <c r="A1330" s="35" t="n"/>
      <c r="B1330" s="36" t="n"/>
      <c r="C1330" s="37">
        <f>IF(B1330="","",IFERROR(INDEX('案件'!$B$6:$B$105,MATCH(B1330,'案件'!$A$6:$A$105,0))&amp;"","（案件シートに無い番号）"))</f>
        <v/>
      </c>
      <c r="D1330" s="36" t="n"/>
      <c r="E1330" s="38" t="n"/>
      <c r="F1330" s="39" t="n"/>
      <c r="G1330" s="36" t="n"/>
      <c r="H1330" s="40" t="n"/>
      <c r="I1330" s="40" t="n"/>
      <c r="J1330" s="41">
        <f>IF(ISNUMBER(H1330),H1330,IF(AND(D1330="労務費",TRIM(E1330)&lt;&gt;""),IFERROR(INDEX('設定'!$G$12:$G$31,MATCH(TRIM(E1330),'設定'!$J$12:$J$31,0)),""),""))</f>
        <v/>
      </c>
      <c r="K1330" s="30">
        <f>IF(AND(ISNUMBER(F1330),ISNUMBER(J1330)),ROUND(F1330*J1330,0),IF(ISNUMBER(I1330),I1330,""))</f>
        <v/>
      </c>
      <c r="L1330" s="33" t="n"/>
      <c r="M1330" s="34">
        <f>IF(COUNTA(A1330:B1330,D1330:I1330,L1330)=0,"",IF(B1330="","案件番号がありません",IF(ISNA(MATCH(B1330,'案件'!$A$6:$A$105,0)),"案件シートに無い番号です",IF(NOT(OR(D1330="材料費",D1330="労務費",D1330="外注費",D1330="経費")),"費目を4つから選んでください",IF(K1330="",IF(AND(ISNUMBER(F1330),NOT(ISNUMBER(J1330))),IF(D1330="労務費","単価がありません（設定の作業者名と同じ書き方に）","単価がありません"),IF(AND(ISNUMBER(J1330),NOT(ISNUMBER(F1330))),"数量がありません","金額がありません")),IF(NOT(ISNUMBER(A1330)),"日付がありません（月別集計に入りません）",IF(AND(ISNUMBER(F1330),ISNUMBER(J1330),ISNUMBER(I1330)),"数量×単価を使いました（金額の欄は使っていません）","")))))))</f>
        <v/>
      </c>
      <c r="N1330" s="91">
        <f>IF(AND(B1330&lt;&gt;"",B1330='案件カード'!$C$3),COUNTIF($B$5:B1330,'案件カード'!$C$3),"")</f>
        <v/>
      </c>
      <c r="O1330" s="91">
        <f>IF(ISNUMBER(K1330),IF(B1330="",K1330,IF(AND(ISNUMBER(MATCH(B1330,'案件'!$A$6:$A$105,0)),OR(D1330="材料費",D1330="労務費",D1330="外注費",D1330="経費")),0,K1330)),0)</f>
        <v/>
      </c>
    </row>
    <row r="1331" ht="16" customHeight="1">
      <c r="A1331" s="35" t="n"/>
      <c r="B1331" s="36" t="n"/>
      <c r="C1331" s="37">
        <f>IF(B1331="","",IFERROR(INDEX('案件'!$B$6:$B$105,MATCH(B1331,'案件'!$A$6:$A$105,0))&amp;"","（案件シートに無い番号）"))</f>
        <v/>
      </c>
      <c r="D1331" s="36" t="n"/>
      <c r="E1331" s="38" t="n"/>
      <c r="F1331" s="39" t="n"/>
      <c r="G1331" s="36" t="n"/>
      <c r="H1331" s="40" t="n"/>
      <c r="I1331" s="40" t="n"/>
      <c r="J1331" s="41">
        <f>IF(ISNUMBER(H1331),H1331,IF(AND(D1331="労務費",TRIM(E1331)&lt;&gt;""),IFERROR(INDEX('設定'!$G$12:$G$31,MATCH(TRIM(E1331),'設定'!$J$12:$J$31,0)),""),""))</f>
        <v/>
      </c>
      <c r="K1331" s="30">
        <f>IF(AND(ISNUMBER(F1331),ISNUMBER(J1331)),ROUND(F1331*J1331,0),IF(ISNUMBER(I1331),I1331,""))</f>
        <v/>
      </c>
      <c r="L1331" s="33" t="n"/>
      <c r="M1331" s="34">
        <f>IF(COUNTA(A1331:B1331,D1331:I1331,L1331)=0,"",IF(B1331="","案件番号がありません",IF(ISNA(MATCH(B1331,'案件'!$A$6:$A$105,0)),"案件シートに無い番号です",IF(NOT(OR(D1331="材料費",D1331="労務費",D1331="外注費",D1331="経費")),"費目を4つから選んでください",IF(K1331="",IF(AND(ISNUMBER(F1331),NOT(ISNUMBER(J1331))),IF(D1331="労務費","単価がありません（設定の作業者名と同じ書き方に）","単価がありません"),IF(AND(ISNUMBER(J1331),NOT(ISNUMBER(F1331))),"数量がありません","金額がありません")),IF(NOT(ISNUMBER(A1331)),"日付がありません（月別集計に入りません）",IF(AND(ISNUMBER(F1331),ISNUMBER(J1331),ISNUMBER(I1331)),"数量×単価を使いました（金額の欄は使っていません）","")))))))</f>
        <v/>
      </c>
      <c r="N1331" s="91">
        <f>IF(AND(B1331&lt;&gt;"",B1331='案件カード'!$C$3),COUNTIF($B$5:B1331,'案件カード'!$C$3),"")</f>
        <v/>
      </c>
      <c r="O1331" s="91">
        <f>IF(ISNUMBER(K1331),IF(B1331="",K1331,IF(AND(ISNUMBER(MATCH(B1331,'案件'!$A$6:$A$105,0)),OR(D1331="材料費",D1331="労務費",D1331="外注費",D1331="経費")),0,K1331)),0)</f>
        <v/>
      </c>
    </row>
    <row r="1332" ht="16" customHeight="1">
      <c r="A1332" s="35" t="n"/>
      <c r="B1332" s="36" t="n"/>
      <c r="C1332" s="37">
        <f>IF(B1332="","",IFERROR(INDEX('案件'!$B$6:$B$105,MATCH(B1332,'案件'!$A$6:$A$105,0))&amp;"","（案件シートに無い番号）"))</f>
        <v/>
      </c>
      <c r="D1332" s="36" t="n"/>
      <c r="E1332" s="38" t="n"/>
      <c r="F1332" s="39" t="n"/>
      <c r="G1332" s="36" t="n"/>
      <c r="H1332" s="40" t="n"/>
      <c r="I1332" s="40" t="n"/>
      <c r="J1332" s="41">
        <f>IF(ISNUMBER(H1332),H1332,IF(AND(D1332="労務費",TRIM(E1332)&lt;&gt;""),IFERROR(INDEX('設定'!$G$12:$G$31,MATCH(TRIM(E1332),'設定'!$J$12:$J$31,0)),""),""))</f>
        <v/>
      </c>
      <c r="K1332" s="30">
        <f>IF(AND(ISNUMBER(F1332),ISNUMBER(J1332)),ROUND(F1332*J1332,0),IF(ISNUMBER(I1332),I1332,""))</f>
        <v/>
      </c>
      <c r="L1332" s="33" t="n"/>
      <c r="M1332" s="34">
        <f>IF(COUNTA(A1332:B1332,D1332:I1332,L1332)=0,"",IF(B1332="","案件番号がありません",IF(ISNA(MATCH(B1332,'案件'!$A$6:$A$105,0)),"案件シートに無い番号です",IF(NOT(OR(D1332="材料費",D1332="労務費",D1332="外注費",D1332="経費")),"費目を4つから選んでください",IF(K1332="",IF(AND(ISNUMBER(F1332),NOT(ISNUMBER(J1332))),IF(D1332="労務費","単価がありません（設定の作業者名と同じ書き方に）","単価がありません"),IF(AND(ISNUMBER(J1332),NOT(ISNUMBER(F1332))),"数量がありません","金額がありません")),IF(NOT(ISNUMBER(A1332)),"日付がありません（月別集計に入りません）",IF(AND(ISNUMBER(F1332),ISNUMBER(J1332),ISNUMBER(I1332)),"数量×単価を使いました（金額の欄は使っていません）","")))))))</f>
        <v/>
      </c>
      <c r="N1332" s="91">
        <f>IF(AND(B1332&lt;&gt;"",B1332='案件カード'!$C$3),COUNTIF($B$5:B1332,'案件カード'!$C$3),"")</f>
        <v/>
      </c>
      <c r="O1332" s="91">
        <f>IF(ISNUMBER(K1332),IF(B1332="",K1332,IF(AND(ISNUMBER(MATCH(B1332,'案件'!$A$6:$A$105,0)),OR(D1332="材料費",D1332="労務費",D1332="外注費",D1332="経費")),0,K1332)),0)</f>
        <v/>
      </c>
    </row>
    <row r="1333" ht="16" customHeight="1">
      <c r="A1333" s="35" t="n"/>
      <c r="B1333" s="36" t="n"/>
      <c r="C1333" s="37">
        <f>IF(B1333="","",IFERROR(INDEX('案件'!$B$6:$B$105,MATCH(B1333,'案件'!$A$6:$A$105,0))&amp;"","（案件シートに無い番号）"))</f>
        <v/>
      </c>
      <c r="D1333" s="36" t="n"/>
      <c r="E1333" s="38" t="n"/>
      <c r="F1333" s="39" t="n"/>
      <c r="G1333" s="36" t="n"/>
      <c r="H1333" s="40" t="n"/>
      <c r="I1333" s="40" t="n"/>
      <c r="J1333" s="41">
        <f>IF(ISNUMBER(H1333),H1333,IF(AND(D1333="労務費",TRIM(E1333)&lt;&gt;""),IFERROR(INDEX('設定'!$G$12:$G$31,MATCH(TRIM(E1333),'設定'!$J$12:$J$31,0)),""),""))</f>
        <v/>
      </c>
      <c r="K1333" s="30">
        <f>IF(AND(ISNUMBER(F1333),ISNUMBER(J1333)),ROUND(F1333*J1333,0),IF(ISNUMBER(I1333),I1333,""))</f>
        <v/>
      </c>
      <c r="L1333" s="33" t="n"/>
      <c r="M1333" s="34">
        <f>IF(COUNTA(A1333:B1333,D1333:I1333,L1333)=0,"",IF(B1333="","案件番号がありません",IF(ISNA(MATCH(B1333,'案件'!$A$6:$A$105,0)),"案件シートに無い番号です",IF(NOT(OR(D1333="材料費",D1333="労務費",D1333="外注費",D1333="経費")),"費目を4つから選んでください",IF(K1333="",IF(AND(ISNUMBER(F1333),NOT(ISNUMBER(J1333))),IF(D1333="労務費","単価がありません（設定の作業者名と同じ書き方に）","単価がありません"),IF(AND(ISNUMBER(J1333),NOT(ISNUMBER(F1333))),"数量がありません","金額がありません")),IF(NOT(ISNUMBER(A1333)),"日付がありません（月別集計に入りません）",IF(AND(ISNUMBER(F1333),ISNUMBER(J1333),ISNUMBER(I1333)),"数量×単価を使いました（金額の欄は使っていません）","")))))))</f>
        <v/>
      </c>
      <c r="N1333" s="91">
        <f>IF(AND(B1333&lt;&gt;"",B1333='案件カード'!$C$3),COUNTIF($B$5:B1333,'案件カード'!$C$3),"")</f>
        <v/>
      </c>
      <c r="O1333" s="91">
        <f>IF(ISNUMBER(K1333),IF(B1333="",K1333,IF(AND(ISNUMBER(MATCH(B1333,'案件'!$A$6:$A$105,0)),OR(D1333="材料費",D1333="労務費",D1333="外注費",D1333="経費")),0,K1333)),0)</f>
        <v/>
      </c>
    </row>
    <row r="1334" ht="16" customHeight="1">
      <c r="A1334" s="35" t="n"/>
      <c r="B1334" s="36" t="n"/>
      <c r="C1334" s="37">
        <f>IF(B1334="","",IFERROR(INDEX('案件'!$B$6:$B$105,MATCH(B1334,'案件'!$A$6:$A$105,0))&amp;"","（案件シートに無い番号）"))</f>
        <v/>
      </c>
      <c r="D1334" s="36" t="n"/>
      <c r="E1334" s="38" t="n"/>
      <c r="F1334" s="39" t="n"/>
      <c r="G1334" s="36" t="n"/>
      <c r="H1334" s="40" t="n"/>
      <c r="I1334" s="40" t="n"/>
      <c r="J1334" s="41">
        <f>IF(ISNUMBER(H1334),H1334,IF(AND(D1334="労務費",TRIM(E1334)&lt;&gt;""),IFERROR(INDEX('設定'!$G$12:$G$31,MATCH(TRIM(E1334),'設定'!$J$12:$J$31,0)),""),""))</f>
        <v/>
      </c>
      <c r="K1334" s="30">
        <f>IF(AND(ISNUMBER(F1334),ISNUMBER(J1334)),ROUND(F1334*J1334,0),IF(ISNUMBER(I1334),I1334,""))</f>
        <v/>
      </c>
      <c r="L1334" s="33" t="n"/>
      <c r="M1334" s="34">
        <f>IF(COUNTA(A1334:B1334,D1334:I1334,L1334)=0,"",IF(B1334="","案件番号がありません",IF(ISNA(MATCH(B1334,'案件'!$A$6:$A$105,0)),"案件シートに無い番号です",IF(NOT(OR(D1334="材料費",D1334="労務費",D1334="外注費",D1334="経費")),"費目を4つから選んでください",IF(K1334="",IF(AND(ISNUMBER(F1334),NOT(ISNUMBER(J1334))),IF(D1334="労務費","単価がありません（設定の作業者名と同じ書き方に）","単価がありません"),IF(AND(ISNUMBER(J1334),NOT(ISNUMBER(F1334))),"数量がありません","金額がありません")),IF(NOT(ISNUMBER(A1334)),"日付がありません（月別集計に入りません）",IF(AND(ISNUMBER(F1334),ISNUMBER(J1334),ISNUMBER(I1334)),"数量×単価を使いました（金額の欄は使っていません）","")))))))</f>
        <v/>
      </c>
      <c r="N1334" s="91">
        <f>IF(AND(B1334&lt;&gt;"",B1334='案件カード'!$C$3),COUNTIF($B$5:B1334,'案件カード'!$C$3),"")</f>
        <v/>
      </c>
      <c r="O1334" s="91">
        <f>IF(ISNUMBER(K1334),IF(B1334="",K1334,IF(AND(ISNUMBER(MATCH(B1334,'案件'!$A$6:$A$105,0)),OR(D1334="材料費",D1334="労務費",D1334="外注費",D1334="経費")),0,K1334)),0)</f>
        <v/>
      </c>
    </row>
    <row r="1335" ht="16" customHeight="1">
      <c r="A1335" s="35" t="n"/>
      <c r="B1335" s="36" t="n"/>
      <c r="C1335" s="37">
        <f>IF(B1335="","",IFERROR(INDEX('案件'!$B$6:$B$105,MATCH(B1335,'案件'!$A$6:$A$105,0))&amp;"","（案件シートに無い番号）"))</f>
        <v/>
      </c>
      <c r="D1335" s="36" t="n"/>
      <c r="E1335" s="38" t="n"/>
      <c r="F1335" s="39" t="n"/>
      <c r="G1335" s="36" t="n"/>
      <c r="H1335" s="40" t="n"/>
      <c r="I1335" s="40" t="n"/>
      <c r="J1335" s="41">
        <f>IF(ISNUMBER(H1335),H1335,IF(AND(D1335="労務費",TRIM(E1335)&lt;&gt;""),IFERROR(INDEX('設定'!$G$12:$G$31,MATCH(TRIM(E1335),'設定'!$J$12:$J$31,0)),""),""))</f>
        <v/>
      </c>
      <c r="K1335" s="30">
        <f>IF(AND(ISNUMBER(F1335),ISNUMBER(J1335)),ROUND(F1335*J1335,0),IF(ISNUMBER(I1335),I1335,""))</f>
        <v/>
      </c>
      <c r="L1335" s="33" t="n"/>
      <c r="M1335" s="34">
        <f>IF(COUNTA(A1335:B1335,D1335:I1335,L1335)=0,"",IF(B1335="","案件番号がありません",IF(ISNA(MATCH(B1335,'案件'!$A$6:$A$105,0)),"案件シートに無い番号です",IF(NOT(OR(D1335="材料費",D1335="労務費",D1335="外注費",D1335="経費")),"費目を4つから選んでください",IF(K1335="",IF(AND(ISNUMBER(F1335),NOT(ISNUMBER(J1335))),IF(D1335="労務費","単価がありません（設定の作業者名と同じ書き方に）","単価がありません"),IF(AND(ISNUMBER(J1335),NOT(ISNUMBER(F1335))),"数量がありません","金額がありません")),IF(NOT(ISNUMBER(A1335)),"日付がありません（月別集計に入りません）",IF(AND(ISNUMBER(F1335),ISNUMBER(J1335),ISNUMBER(I1335)),"数量×単価を使いました（金額の欄は使っていません）","")))))))</f>
        <v/>
      </c>
      <c r="N1335" s="91">
        <f>IF(AND(B1335&lt;&gt;"",B1335='案件カード'!$C$3),COUNTIF($B$5:B1335,'案件カード'!$C$3),"")</f>
        <v/>
      </c>
      <c r="O1335" s="91">
        <f>IF(ISNUMBER(K1335),IF(B1335="",K1335,IF(AND(ISNUMBER(MATCH(B1335,'案件'!$A$6:$A$105,0)),OR(D1335="材料費",D1335="労務費",D1335="外注費",D1335="経費")),0,K1335)),0)</f>
        <v/>
      </c>
    </row>
    <row r="1336" ht="16" customHeight="1">
      <c r="A1336" s="35" t="n"/>
      <c r="B1336" s="36" t="n"/>
      <c r="C1336" s="37">
        <f>IF(B1336="","",IFERROR(INDEX('案件'!$B$6:$B$105,MATCH(B1336,'案件'!$A$6:$A$105,0))&amp;"","（案件シートに無い番号）"))</f>
        <v/>
      </c>
      <c r="D1336" s="36" t="n"/>
      <c r="E1336" s="38" t="n"/>
      <c r="F1336" s="39" t="n"/>
      <c r="G1336" s="36" t="n"/>
      <c r="H1336" s="40" t="n"/>
      <c r="I1336" s="40" t="n"/>
      <c r="J1336" s="41">
        <f>IF(ISNUMBER(H1336),H1336,IF(AND(D1336="労務費",TRIM(E1336)&lt;&gt;""),IFERROR(INDEX('設定'!$G$12:$G$31,MATCH(TRIM(E1336),'設定'!$J$12:$J$31,0)),""),""))</f>
        <v/>
      </c>
      <c r="K1336" s="30">
        <f>IF(AND(ISNUMBER(F1336),ISNUMBER(J1336)),ROUND(F1336*J1336,0),IF(ISNUMBER(I1336),I1336,""))</f>
        <v/>
      </c>
      <c r="L1336" s="33" t="n"/>
      <c r="M1336" s="34">
        <f>IF(COUNTA(A1336:B1336,D1336:I1336,L1336)=0,"",IF(B1336="","案件番号がありません",IF(ISNA(MATCH(B1336,'案件'!$A$6:$A$105,0)),"案件シートに無い番号です",IF(NOT(OR(D1336="材料費",D1336="労務費",D1336="外注費",D1336="経費")),"費目を4つから選んでください",IF(K1336="",IF(AND(ISNUMBER(F1336),NOT(ISNUMBER(J1336))),IF(D1336="労務費","単価がありません（設定の作業者名と同じ書き方に）","単価がありません"),IF(AND(ISNUMBER(J1336),NOT(ISNUMBER(F1336))),"数量がありません","金額がありません")),IF(NOT(ISNUMBER(A1336)),"日付がありません（月別集計に入りません）",IF(AND(ISNUMBER(F1336),ISNUMBER(J1336),ISNUMBER(I1336)),"数量×単価を使いました（金額の欄は使っていません）","")))))))</f>
        <v/>
      </c>
      <c r="N1336" s="91">
        <f>IF(AND(B1336&lt;&gt;"",B1336='案件カード'!$C$3),COUNTIF($B$5:B1336,'案件カード'!$C$3),"")</f>
        <v/>
      </c>
      <c r="O1336" s="91">
        <f>IF(ISNUMBER(K1336),IF(B1336="",K1336,IF(AND(ISNUMBER(MATCH(B1336,'案件'!$A$6:$A$105,0)),OR(D1336="材料費",D1336="労務費",D1336="外注費",D1336="経費")),0,K1336)),0)</f>
        <v/>
      </c>
    </row>
    <row r="1337" ht="16" customHeight="1">
      <c r="A1337" s="35" t="n"/>
      <c r="B1337" s="36" t="n"/>
      <c r="C1337" s="37">
        <f>IF(B1337="","",IFERROR(INDEX('案件'!$B$6:$B$105,MATCH(B1337,'案件'!$A$6:$A$105,0))&amp;"","（案件シートに無い番号）"))</f>
        <v/>
      </c>
      <c r="D1337" s="36" t="n"/>
      <c r="E1337" s="38" t="n"/>
      <c r="F1337" s="39" t="n"/>
      <c r="G1337" s="36" t="n"/>
      <c r="H1337" s="40" t="n"/>
      <c r="I1337" s="40" t="n"/>
      <c r="J1337" s="41">
        <f>IF(ISNUMBER(H1337),H1337,IF(AND(D1337="労務費",TRIM(E1337)&lt;&gt;""),IFERROR(INDEX('設定'!$G$12:$G$31,MATCH(TRIM(E1337),'設定'!$J$12:$J$31,0)),""),""))</f>
        <v/>
      </c>
      <c r="K1337" s="30">
        <f>IF(AND(ISNUMBER(F1337),ISNUMBER(J1337)),ROUND(F1337*J1337,0),IF(ISNUMBER(I1337),I1337,""))</f>
        <v/>
      </c>
      <c r="L1337" s="33" t="n"/>
      <c r="M1337" s="34">
        <f>IF(COUNTA(A1337:B1337,D1337:I1337,L1337)=0,"",IF(B1337="","案件番号がありません",IF(ISNA(MATCH(B1337,'案件'!$A$6:$A$105,0)),"案件シートに無い番号です",IF(NOT(OR(D1337="材料費",D1337="労務費",D1337="外注費",D1337="経費")),"費目を4つから選んでください",IF(K1337="",IF(AND(ISNUMBER(F1337),NOT(ISNUMBER(J1337))),IF(D1337="労務費","単価がありません（設定の作業者名と同じ書き方に）","単価がありません"),IF(AND(ISNUMBER(J1337),NOT(ISNUMBER(F1337))),"数量がありません","金額がありません")),IF(NOT(ISNUMBER(A1337)),"日付がありません（月別集計に入りません）",IF(AND(ISNUMBER(F1337),ISNUMBER(J1337),ISNUMBER(I1337)),"数量×単価を使いました（金額の欄は使っていません）","")))))))</f>
        <v/>
      </c>
      <c r="N1337" s="91">
        <f>IF(AND(B1337&lt;&gt;"",B1337='案件カード'!$C$3),COUNTIF($B$5:B1337,'案件カード'!$C$3),"")</f>
        <v/>
      </c>
      <c r="O1337" s="91">
        <f>IF(ISNUMBER(K1337),IF(B1337="",K1337,IF(AND(ISNUMBER(MATCH(B1337,'案件'!$A$6:$A$105,0)),OR(D1337="材料費",D1337="労務費",D1337="外注費",D1337="経費")),0,K1337)),0)</f>
        <v/>
      </c>
    </row>
    <row r="1338" ht="16" customHeight="1">
      <c r="A1338" s="35" t="n"/>
      <c r="B1338" s="36" t="n"/>
      <c r="C1338" s="37">
        <f>IF(B1338="","",IFERROR(INDEX('案件'!$B$6:$B$105,MATCH(B1338,'案件'!$A$6:$A$105,0))&amp;"","（案件シートに無い番号）"))</f>
        <v/>
      </c>
      <c r="D1338" s="36" t="n"/>
      <c r="E1338" s="38" t="n"/>
      <c r="F1338" s="39" t="n"/>
      <c r="G1338" s="36" t="n"/>
      <c r="H1338" s="40" t="n"/>
      <c r="I1338" s="40" t="n"/>
      <c r="J1338" s="41">
        <f>IF(ISNUMBER(H1338),H1338,IF(AND(D1338="労務費",TRIM(E1338)&lt;&gt;""),IFERROR(INDEX('設定'!$G$12:$G$31,MATCH(TRIM(E1338),'設定'!$J$12:$J$31,0)),""),""))</f>
        <v/>
      </c>
      <c r="K1338" s="30">
        <f>IF(AND(ISNUMBER(F1338),ISNUMBER(J1338)),ROUND(F1338*J1338,0),IF(ISNUMBER(I1338),I1338,""))</f>
        <v/>
      </c>
      <c r="L1338" s="33" t="n"/>
      <c r="M1338" s="34">
        <f>IF(COUNTA(A1338:B1338,D1338:I1338,L1338)=0,"",IF(B1338="","案件番号がありません",IF(ISNA(MATCH(B1338,'案件'!$A$6:$A$105,0)),"案件シートに無い番号です",IF(NOT(OR(D1338="材料費",D1338="労務費",D1338="外注費",D1338="経費")),"費目を4つから選んでください",IF(K1338="",IF(AND(ISNUMBER(F1338),NOT(ISNUMBER(J1338))),IF(D1338="労務費","単価がありません（設定の作業者名と同じ書き方に）","単価がありません"),IF(AND(ISNUMBER(J1338),NOT(ISNUMBER(F1338))),"数量がありません","金額がありません")),IF(NOT(ISNUMBER(A1338)),"日付がありません（月別集計に入りません）",IF(AND(ISNUMBER(F1338),ISNUMBER(J1338),ISNUMBER(I1338)),"数量×単価を使いました（金額の欄は使っていません）","")))))))</f>
        <v/>
      </c>
      <c r="N1338" s="91">
        <f>IF(AND(B1338&lt;&gt;"",B1338='案件カード'!$C$3),COUNTIF($B$5:B1338,'案件カード'!$C$3),"")</f>
        <v/>
      </c>
      <c r="O1338" s="91">
        <f>IF(ISNUMBER(K1338),IF(B1338="",K1338,IF(AND(ISNUMBER(MATCH(B1338,'案件'!$A$6:$A$105,0)),OR(D1338="材料費",D1338="労務費",D1338="外注費",D1338="経費")),0,K1338)),0)</f>
        <v/>
      </c>
    </row>
    <row r="1339" ht="16" customHeight="1">
      <c r="A1339" s="35" t="n"/>
      <c r="B1339" s="36" t="n"/>
      <c r="C1339" s="37">
        <f>IF(B1339="","",IFERROR(INDEX('案件'!$B$6:$B$105,MATCH(B1339,'案件'!$A$6:$A$105,0))&amp;"","（案件シートに無い番号）"))</f>
        <v/>
      </c>
      <c r="D1339" s="36" t="n"/>
      <c r="E1339" s="38" t="n"/>
      <c r="F1339" s="39" t="n"/>
      <c r="G1339" s="36" t="n"/>
      <c r="H1339" s="40" t="n"/>
      <c r="I1339" s="40" t="n"/>
      <c r="J1339" s="41">
        <f>IF(ISNUMBER(H1339),H1339,IF(AND(D1339="労務費",TRIM(E1339)&lt;&gt;""),IFERROR(INDEX('設定'!$G$12:$G$31,MATCH(TRIM(E1339),'設定'!$J$12:$J$31,0)),""),""))</f>
        <v/>
      </c>
      <c r="K1339" s="30">
        <f>IF(AND(ISNUMBER(F1339),ISNUMBER(J1339)),ROUND(F1339*J1339,0),IF(ISNUMBER(I1339),I1339,""))</f>
        <v/>
      </c>
      <c r="L1339" s="33" t="n"/>
      <c r="M1339" s="34">
        <f>IF(COUNTA(A1339:B1339,D1339:I1339,L1339)=0,"",IF(B1339="","案件番号がありません",IF(ISNA(MATCH(B1339,'案件'!$A$6:$A$105,0)),"案件シートに無い番号です",IF(NOT(OR(D1339="材料費",D1339="労務費",D1339="外注費",D1339="経費")),"費目を4つから選んでください",IF(K1339="",IF(AND(ISNUMBER(F1339),NOT(ISNUMBER(J1339))),IF(D1339="労務費","単価がありません（設定の作業者名と同じ書き方に）","単価がありません"),IF(AND(ISNUMBER(J1339),NOT(ISNUMBER(F1339))),"数量がありません","金額がありません")),IF(NOT(ISNUMBER(A1339)),"日付がありません（月別集計に入りません）",IF(AND(ISNUMBER(F1339),ISNUMBER(J1339),ISNUMBER(I1339)),"数量×単価を使いました（金額の欄は使っていません）","")))))))</f>
        <v/>
      </c>
      <c r="N1339" s="91">
        <f>IF(AND(B1339&lt;&gt;"",B1339='案件カード'!$C$3),COUNTIF($B$5:B1339,'案件カード'!$C$3),"")</f>
        <v/>
      </c>
      <c r="O1339" s="91">
        <f>IF(ISNUMBER(K1339),IF(B1339="",K1339,IF(AND(ISNUMBER(MATCH(B1339,'案件'!$A$6:$A$105,0)),OR(D1339="材料費",D1339="労務費",D1339="外注費",D1339="経費")),0,K1339)),0)</f>
        <v/>
      </c>
    </row>
    <row r="1340" ht="16" customHeight="1">
      <c r="A1340" s="35" t="n"/>
      <c r="B1340" s="36" t="n"/>
      <c r="C1340" s="37">
        <f>IF(B1340="","",IFERROR(INDEX('案件'!$B$6:$B$105,MATCH(B1340,'案件'!$A$6:$A$105,0))&amp;"","（案件シートに無い番号）"))</f>
        <v/>
      </c>
      <c r="D1340" s="36" t="n"/>
      <c r="E1340" s="38" t="n"/>
      <c r="F1340" s="39" t="n"/>
      <c r="G1340" s="36" t="n"/>
      <c r="H1340" s="40" t="n"/>
      <c r="I1340" s="40" t="n"/>
      <c r="J1340" s="41">
        <f>IF(ISNUMBER(H1340),H1340,IF(AND(D1340="労務費",TRIM(E1340)&lt;&gt;""),IFERROR(INDEX('設定'!$G$12:$G$31,MATCH(TRIM(E1340),'設定'!$J$12:$J$31,0)),""),""))</f>
        <v/>
      </c>
      <c r="K1340" s="30">
        <f>IF(AND(ISNUMBER(F1340),ISNUMBER(J1340)),ROUND(F1340*J1340,0),IF(ISNUMBER(I1340),I1340,""))</f>
        <v/>
      </c>
      <c r="L1340" s="33" t="n"/>
      <c r="M1340" s="34">
        <f>IF(COUNTA(A1340:B1340,D1340:I1340,L1340)=0,"",IF(B1340="","案件番号がありません",IF(ISNA(MATCH(B1340,'案件'!$A$6:$A$105,0)),"案件シートに無い番号です",IF(NOT(OR(D1340="材料費",D1340="労務費",D1340="外注費",D1340="経費")),"費目を4つから選んでください",IF(K1340="",IF(AND(ISNUMBER(F1340),NOT(ISNUMBER(J1340))),IF(D1340="労務費","単価がありません（設定の作業者名と同じ書き方に）","単価がありません"),IF(AND(ISNUMBER(J1340),NOT(ISNUMBER(F1340))),"数量がありません","金額がありません")),IF(NOT(ISNUMBER(A1340)),"日付がありません（月別集計に入りません）",IF(AND(ISNUMBER(F1340),ISNUMBER(J1340),ISNUMBER(I1340)),"数量×単価を使いました（金額の欄は使っていません）","")))))))</f>
        <v/>
      </c>
      <c r="N1340" s="91">
        <f>IF(AND(B1340&lt;&gt;"",B1340='案件カード'!$C$3),COUNTIF($B$5:B1340,'案件カード'!$C$3),"")</f>
        <v/>
      </c>
      <c r="O1340" s="91">
        <f>IF(ISNUMBER(K1340),IF(B1340="",K1340,IF(AND(ISNUMBER(MATCH(B1340,'案件'!$A$6:$A$105,0)),OR(D1340="材料費",D1340="労務費",D1340="外注費",D1340="経費")),0,K1340)),0)</f>
        <v/>
      </c>
    </row>
    <row r="1341" ht="16" customHeight="1">
      <c r="A1341" s="35" t="n"/>
      <c r="B1341" s="36" t="n"/>
      <c r="C1341" s="37">
        <f>IF(B1341="","",IFERROR(INDEX('案件'!$B$6:$B$105,MATCH(B1341,'案件'!$A$6:$A$105,0))&amp;"","（案件シートに無い番号）"))</f>
        <v/>
      </c>
      <c r="D1341" s="36" t="n"/>
      <c r="E1341" s="38" t="n"/>
      <c r="F1341" s="39" t="n"/>
      <c r="G1341" s="36" t="n"/>
      <c r="H1341" s="40" t="n"/>
      <c r="I1341" s="40" t="n"/>
      <c r="J1341" s="41">
        <f>IF(ISNUMBER(H1341),H1341,IF(AND(D1341="労務費",TRIM(E1341)&lt;&gt;""),IFERROR(INDEX('設定'!$G$12:$G$31,MATCH(TRIM(E1341),'設定'!$J$12:$J$31,0)),""),""))</f>
        <v/>
      </c>
      <c r="K1341" s="30">
        <f>IF(AND(ISNUMBER(F1341),ISNUMBER(J1341)),ROUND(F1341*J1341,0),IF(ISNUMBER(I1341),I1341,""))</f>
        <v/>
      </c>
      <c r="L1341" s="33" t="n"/>
      <c r="M1341" s="34">
        <f>IF(COUNTA(A1341:B1341,D1341:I1341,L1341)=0,"",IF(B1341="","案件番号がありません",IF(ISNA(MATCH(B1341,'案件'!$A$6:$A$105,0)),"案件シートに無い番号です",IF(NOT(OR(D1341="材料費",D1341="労務費",D1341="外注費",D1341="経費")),"費目を4つから選んでください",IF(K1341="",IF(AND(ISNUMBER(F1341),NOT(ISNUMBER(J1341))),IF(D1341="労務費","単価がありません（設定の作業者名と同じ書き方に）","単価がありません"),IF(AND(ISNUMBER(J1341),NOT(ISNUMBER(F1341))),"数量がありません","金額がありません")),IF(NOT(ISNUMBER(A1341)),"日付がありません（月別集計に入りません）",IF(AND(ISNUMBER(F1341),ISNUMBER(J1341),ISNUMBER(I1341)),"数量×単価を使いました（金額の欄は使っていません）","")))))))</f>
        <v/>
      </c>
      <c r="N1341" s="91">
        <f>IF(AND(B1341&lt;&gt;"",B1341='案件カード'!$C$3),COUNTIF($B$5:B1341,'案件カード'!$C$3),"")</f>
        <v/>
      </c>
      <c r="O1341" s="91">
        <f>IF(ISNUMBER(K1341),IF(B1341="",K1341,IF(AND(ISNUMBER(MATCH(B1341,'案件'!$A$6:$A$105,0)),OR(D1341="材料費",D1341="労務費",D1341="外注費",D1341="経費")),0,K1341)),0)</f>
        <v/>
      </c>
    </row>
    <row r="1342" ht="16" customHeight="1">
      <c r="A1342" s="35" t="n"/>
      <c r="B1342" s="36" t="n"/>
      <c r="C1342" s="37">
        <f>IF(B1342="","",IFERROR(INDEX('案件'!$B$6:$B$105,MATCH(B1342,'案件'!$A$6:$A$105,0))&amp;"","（案件シートに無い番号）"))</f>
        <v/>
      </c>
      <c r="D1342" s="36" t="n"/>
      <c r="E1342" s="38" t="n"/>
      <c r="F1342" s="39" t="n"/>
      <c r="G1342" s="36" t="n"/>
      <c r="H1342" s="40" t="n"/>
      <c r="I1342" s="40" t="n"/>
      <c r="J1342" s="41">
        <f>IF(ISNUMBER(H1342),H1342,IF(AND(D1342="労務費",TRIM(E1342)&lt;&gt;""),IFERROR(INDEX('設定'!$G$12:$G$31,MATCH(TRIM(E1342),'設定'!$J$12:$J$31,0)),""),""))</f>
        <v/>
      </c>
      <c r="K1342" s="30">
        <f>IF(AND(ISNUMBER(F1342),ISNUMBER(J1342)),ROUND(F1342*J1342,0),IF(ISNUMBER(I1342),I1342,""))</f>
        <v/>
      </c>
      <c r="L1342" s="33" t="n"/>
      <c r="M1342" s="34">
        <f>IF(COUNTA(A1342:B1342,D1342:I1342,L1342)=0,"",IF(B1342="","案件番号がありません",IF(ISNA(MATCH(B1342,'案件'!$A$6:$A$105,0)),"案件シートに無い番号です",IF(NOT(OR(D1342="材料費",D1342="労務費",D1342="外注費",D1342="経費")),"費目を4つから選んでください",IF(K1342="",IF(AND(ISNUMBER(F1342),NOT(ISNUMBER(J1342))),IF(D1342="労務費","単価がありません（設定の作業者名と同じ書き方に）","単価がありません"),IF(AND(ISNUMBER(J1342),NOT(ISNUMBER(F1342))),"数量がありません","金額がありません")),IF(NOT(ISNUMBER(A1342)),"日付がありません（月別集計に入りません）",IF(AND(ISNUMBER(F1342),ISNUMBER(J1342),ISNUMBER(I1342)),"数量×単価を使いました（金額の欄は使っていません）","")))))))</f>
        <v/>
      </c>
      <c r="N1342" s="91">
        <f>IF(AND(B1342&lt;&gt;"",B1342='案件カード'!$C$3),COUNTIF($B$5:B1342,'案件カード'!$C$3),"")</f>
        <v/>
      </c>
      <c r="O1342" s="91">
        <f>IF(ISNUMBER(K1342),IF(B1342="",K1342,IF(AND(ISNUMBER(MATCH(B1342,'案件'!$A$6:$A$105,0)),OR(D1342="材料費",D1342="労務費",D1342="外注費",D1342="経費")),0,K1342)),0)</f>
        <v/>
      </c>
    </row>
    <row r="1343" ht="16" customHeight="1">
      <c r="A1343" s="35" t="n"/>
      <c r="B1343" s="36" t="n"/>
      <c r="C1343" s="37">
        <f>IF(B1343="","",IFERROR(INDEX('案件'!$B$6:$B$105,MATCH(B1343,'案件'!$A$6:$A$105,0))&amp;"","（案件シートに無い番号）"))</f>
        <v/>
      </c>
      <c r="D1343" s="36" t="n"/>
      <c r="E1343" s="38" t="n"/>
      <c r="F1343" s="39" t="n"/>
      <c r="G1343" s="36" t="n"/>
      <c r="H1343" s="40" t="n"/>
      <c r="I1343" s="40" t="n"/>
      <c r="J1343" s="41">
        <f>IF(ISNUMBER(H1343),H1343,IF(AND(D1343="労務費",TRIM(E1343)&lt;&gt;""),IFERROR(INDEX('設定'!$G$12:$G$31,MATCH(TRIM(E1343),'設定'!$J$12:$J$31,0)),""),""))</f>
        <v/>
      </c>
      <c r="K1343" s="30">
        <f>IF(AND(ISNUMBER(F1343),ISNUMBER(J1343)),ROUND(F1343*J1343,0),IF(ISNUMBER(I1343),I1343,""))</f>
        <v/>
      </c>
      <c r="L1343" s="33" t="n"/>
      <c r="M1343" s="34">
        <f>IF(COUNTA(A1343:B1343,D1343:I1343,L1343)=0,"",IF(B1343="","案件番号がありません",IF(ISNA(MATCH(B1343,'案件'!$A$6:$A$105,0)),"案件シートに無い番号です",IF(NOT(OR(D1343="材料費",D1343="労務費",D1343="外注費",D1343="経費")),"費目を4つから選んでください",IF(K1343="",IF(AND(ISNUMBER(F1343),NOT(ISNUMBER(J1343))),IF(D1343="労務費","単価がありません（設定の作業者名と同じ書き方に）","単価がありません"),IF(AND(ISNUMBER(J1343),NOT(ISNUMBER(F1343))),"数量がありません","金額がありません")),IF(NOT(ISNUMBER(A1343)),"日付がありません（月別集計に入りません）",IF(AND(ISNUMBER(F1343),ISNUMBER(J1343),ISNUMBER(I1343)),"数量×単価を使いました（金額の欄は使っていません）","")))))))</f>
        <v/>
      </c>
      <c r="N1343" s="91">
        <f>IF(AND(B1343&lt;&gt;"",B1343='案件カード'!$C$3),COUNTIF($B$5:B1343,'案件カード'!$C$3),"")</f>
        <v/>
      </c>
      <c r="O1343" s="91">
        <f>IF(ISNUMBER(K1343),IF(B1343="",K1343,IF(AND(ISNUMBER(MATCH(B1343,'案件'!$A$6:$A$105,0)),OR(D1343="材料費",D1343="労務費",D1343="外注費",D1343="経費")),0,K1343)),0)</f>
        <v/>
      </c>
    </row>
    <row r="1344" ht="16" customHeight="1">
      <c r="A1344" s="35" t="n"/>
      <c r="B1344" s="36" t="n"/>
      <c r="C1344" s="37">
        <f>IF(B1344="","",IFERROR(INDEX('案件'!$B$6:$B$105,MATCH(B1344,'案件'!$A$6:$A$105,0))&amp;"","（案件シートに無い番号）"))</f>
        <v/>
      </c>
      <c r="D1344" s="36" t="n"/>
      <c r="E1344" s="38" t="n"/>
      <c r="F1344" s="39" t="n"/>
      <c r="G1344" s="36" t="n"/>
      <c r="H1344" s="40" t="n"/>
      <c r="I1344" s="40" t="n"/>
      <c r="J1344" s="41">
        <f>IF(ISNUMBER(H1344),H1344,IF(AND(D1344="労務費",TRIM(E1344)&lt;&gt;""),IFERROR(INDEX('設定'!$G$12:$G$31,MATCH(TRIM(E1344),'設定'!$J$12:$J$31,0)),""),""))</f>
        <v/>
      </c>
      <c r="K1344" s="30">
        <f>IF(AND(ISNUMBER(F1344),ISNUMBER(J1344)),ROUND(F1344*J1344,0),IF(ISNUMBER(I1344),I1344,""))</f>
        <v/>
      </c>
      <c r="L1344" s="33" t="n"/>
      <c r="M1344" s="34">
        <f>IF(COUNTA(A1344:B1344,D1344:I1344,L1344)=0,"",IF(B1344="","案件番号がありません",IF(ISNA(MATCH(B1344,'案件'!$A$6:$A$105,0)),"案件シートに無い番号です",IF(NOT(OR(D1344="材料費",D1344="労務費",D1344="外注費",D1344="経費")),"費目を4つから選んでください",IF(K1344="",IF(AND(ISNUMBER(F1344),NOT(ISNUMBER(J1344))),IF(D1344="労務費","単価がありません（設定の作業者名と同じ書き方に）","単価がありません"),IF(AND(ISNUMBER(J1344),NOT(ISNUMBER(F1344))),"数量がありません","金額がありません")),IF(NOT(ISNUMBER(A1344)),"日付がありません（月別集計に入りません）",IF(AND(ISNUMBER(F1344),ISNUMBER(J1344),ISNUMBER(I1344)),"数量×単価を使いました（金額の欄は使っていません）","")))))))</f>
        <v/>
      </c>
      <c r="N1344" s="91">
        <f>IF(AND(B1344&lt;&gt;"",B1344='案件カード'!$C$3),COUNTIF($B$5:B1344,'案件カード'!$C$3),"")</f>
        <v/>
      </c>
      <c r="O1344" s="91">
        <f>IF(ISNUMBER(K1344),IF(B1344="",K1344,IF(AND(ISNUMBER(MATCH(B1344,'案件'!$A$6:$A$105,0)),OR(D1344="材料費",D1344="労務費",D1344="外注費",D1344="経費")),0,K1344)),0)</f>
        <v/>
      </c>
    </row>
    <row r="1345" ht="16" customHeight="1">
      <c r="A1345" s="35" t="n"/>
      <c r="B1345" s="36" t="n"/>
      <c r="C1345" s="37">
        <f>IF(B1345="","",IFERROR(INDEX('案件'!$B$6:$B$105,MATCH(B1345,'案件'!$A$6:$A$105,0))&amp;"","（案件シートに無い番号）"))</f>
        <v/>
      </c>
      <c r="D1345" s="36" t="n"/>
      <c r="E1345" s="38" t="n"/>
      <c r="F1345" s="39" t="n"/>
      <c r="G1345" s="36" t="n"/>
      <c r="H1345" s="40" t="n"/>
      <c r="I1345" s="40" t="n"/>
      <c r="J1345" s="41">
        <f>IF(ISNUMBER(H1345),H1345,IF(AND(D1345="労務費",TRIM(E1345)&lt;&gt;""),IFERROR(INDEX('設定'!$G$12:$G$31,MATCH(TRIM(E1345),'設定'!$J$12:$J$31,0)),""),""))</f>
        <v/>
      </c>
      <c r="K1345" s="30">
        <f>IF(AND(ISNUMBER(F1345),ISNUMBER(J1345)),ROUND(F1345*J1345,0),IF(ISNUMBER(I1345),I1345,""))</f>
        <v/>
      </c>
      <c r="L1345" s="33" t="n"/>
      <c r="M1345" s="34">
        <f>IF(COUNTA(A1345:B1345,D1345:I1345,L1345)=0,"",IF(B1345="","案件番号がありません",IF(ISNA(MATCH(B1345,'案件'!$A$6:$A$105,0)),"案件シートに無い番号です",IF(NOT(OR(D1345="材料費",D1345="労務費",D1345="外注費",D1345="経費")),"費目を4つから選んでください",IF(K1345="",IF(AND(ISNUMBER(F1345),NOT(ISNUMBER(J1345))),IF(D1345="労務費","単価がありません（設定の作業者名と同じ書き方に）","単価がありません"),IF(AND(ISNUMBER(J1345),NOT(ISNUMBER(F1345))),"数量がありません","金額がありません")),IF(NOT(ISNUMBER(A1345)),"日付がありません（月別集計に入りません）",IF(AND(ISNUMBER(F1345),ISNUMBER(J1345),ISNUMBER(I1345)),"数量×単価を使いました（金額の欄は使っていません）","")))))))</f>
        <v/>
      </c>
      <c r="N1345" s="91">
        <f>IF(AND(B1345&lt;&gt;"",B1345='案件カード'!$C$3),COUNTIF($B$5:B1345,'案件カード'!$C$3),"")</f>
        <v/>
      </c>
      <c r="O1345" s="91">
        <f>IF(ISNUMBER(K1345),IF(B1345="",K1345,IF(AND(ISNUMBER(MATCH(B1345,'案件'!$A$6:$A$105,0)),OR(D1345="材料費",D1345="労務費",D1345="外注費",D1345="経費")),0,K1345)),0)</f>
        <v/>
      </c>
    </row>
    <row r="1346" ht="16" customHeight="1">
      <c r="A1346" s="35" t="n"/>
      <c r="B1346" s="36" t="n"/>
      <c r="C1346" s="37">
        <f>IF(B1346="","",IFERROR(INDEX('案件'!$B$6:$B$105,MATCH(B1346,'案件'!$A$6:$A$105,0))&amp;"","（案件シートに無い番号）"))</f>
        <v/>
      </c>
      <c r="D1346" s="36" t="n"/>
      <c r="E1346" s="38" t="n"/>
      <c r="F1346" s="39" t="n"/>
      <c r="G1346" s="36" t="n"/>
      <c r="H1346" s="40" t="n"/>
      <c r="I1346" s="40" t="n"/>
      <c r="J1346" s="41">
        <f>IF(ISNUMBER(H1346),H1346,IF(AND(D1346="労務費",TRIM(E1346)&lt;&gt;""),IFERROR(INDEX('設定'!$G$12:$G$31,MATCH(TRIM(E1346),'設定'!$J$12:$J$31,0)),""),""))</f>
        <v/>
      </c>
      <c r="K1346" s="30">
        <f>IF(AND(ISNUMBER(F1346),ISNUMBER(J1346)),ROUND(F1346*J1346,0),IF(ISNUMBER(I1346),I1346,""))</f>
        <v/>
      </c>
      <c r="L1346" s="33" t="n"/>
      <c r="M1346" s="34">
        <f>IF(COUNTA(A1346:B1346,D1346:I1346,L1346)=0,"",IF(B1346="","案件番号がありません",IF(ISNA(MATCH(B1346,'案件'!$A$6:$A$105,0)),"案件シートに無い番号です",IF(NOT(OR(D1346="材料費",D1346="労務費",D1346="外注費",D1346="経費")),"費目を4つから選んでください",IF(K1346="",IF(AND(ISNUMBER(F1346),NOT(ISNUMBER(J1346))),IF(D1346="労務費","単価がありません（設定の作業者名と同じ書き方に）","単価がありません"),IF(AND(ISNUMBER(J1346),NOT(ISNUMBER(F1346))),"数量がありません","金額がありません")),IF(NOT(ISNUMBER(A1346)),"日付がありません（月別集計に入りません）",IF(AND(ISNUMBER(F1346),ISNUMBER(J1346),ISNUMBER(I1346)),"数量×単価を使いました（金額の欄は使っていません）","")))))))</f>
        <v/>
      </c>
      <c r="N1346" s="91">
        <f>IF(AND(B1346&lt;&gt;"",B1346='案件カード'!$C$3),COUNTIF($B$5:B1346,'案件カード'!$C$3),"")</f>
        <v/>
      </c>
      <c r="O1346" s="91">
        <f>IF(ISNUMBER(K1346),IF(B1346="",K1346,IF(AND(ISNUMBER(MATCH(B1346,'案件'!$A$6:$A$105,0)),OR(D1346="材料費",D1346="労務費",D1346="外注費",D1346="経費")),0,K1346)),0)</f>
        <v/>
      </c>
    </row>
    <row r="1347" ht="16" customHeight="1">
      <c r="A1347" s="35" t="n"/>
      <c r="B1347" s="36" t="n"/>
      <c r="C1347" s="37">
        <f>IF(B1347="","",IFERROR(INDEX('案件'!$B$6:$B$105,MATCH(B1347,'案件'!$A$6:$A$105,0))&amp;"","（案件シートに無い番号）"))</f>
        <v/>
      </c>
      <c r="D1347" s="36" t="n"/>
      <c r="E1347" s="38" t="n"/>
      <c r="F1347" s="39" t="n"/>
      <c r="G1347" s="36" t="n"/>
      <c r="H1347" s="40" t="n"/>
      <c r="I1347" s="40" t="n"/>
      <c r="J1347" s="41">
        <f>IF(ISNUMBER(H1347),H1347,IF(AND(D1347="労務費",TRIM(E1347)&lt;&gt;""),IFERROR(INDEX('設定'!$G$12:$G$31,MATCH(TRIM(E1347),'設定'!$J$12:$J$31,0)),""),""))</f>
        <v/>
      </c>
      <c r="K1347" s="30">
        <f>IF(AND(ISNUMBER(F1347),ISNUMBER(J1347)),ROUND(F1347*J1347,0),IF(ISNUMBER(I1347),I1347,""))</f>
        <v/>
      </c>
      <c r="L1347" s="33" t="n"/>
      <c r="M1347" s="34">
        <f>IF(COUNTA(A1347:B1347,D1347:I1347,L1347)=0,"",IF(B1347="","案件番号がありません",IF(ISNA(MATCH(B1347,'案件'!$A$6:$A$105,0)),"案件シートに無い番号です",IF(NOT(OR(D1347="材料費",D1347="労務費",D1347="外注費",D1347="経費")),"費目を4つから選んでください",IF(K1347="",IF(AND(ISNUMBER(F1347),NOT(ISNUMBER(J1347))),IF(D1347="労務費","単価がありません（設定の作業者名と同じ書き方に）","単価がありません"),IF(AND(ISNUMBER(J1347),NOT(ISNUMBER(F1347))),"数量がありません","金額がありません")),IF(NOT(ISNUMBER(A1347)),"日付がありません（月別集計に入りません）",IF(AND(ISNUMBER(F1347),ISNUMBER(J1347),ISNUMBER(I1347)),"数量×単価を使いました（金額の欄は使っていません）","")))))))</f>
        <v/>
      </c>
      <c r="N1347" s="91">
        <f>IF(AND(B1347&lt;&gt;"",B1347='案件カード'!$C$3),COUNTIF($B$5:B1347,'案件カード'!$C$3),"")</f>
        <v/>
      </c>
      <c r="O1347" s="91">
        <f>IF(ISNUMBER(K1347),IF(B1347="",K1347,IF(AND(ISNUMBER(MATCH(B1347,'案件'!$A$6:$A$105,0)),OR(D1347="材料費",D1347="労務費",D1347="外注費",D1347="経費")),0,K1347)),0)</f>
        <v/>
      </c>
    </row>
    <row r="1348" ht="16" customHeight="1">
      <c r="A1348" s="35" t="n"/>
      <c r="B1348" s="36" t="n"/>
      <c r="C1348" s="37">
        <f>IF(B1348="","",IFERROR(INDEX('案件'!$B$6:$B$105,MATCH(B1348,'案件'!$A$6:$A$105,0))&amp;"","（案件シートに無い番号）"))</f>
        <v/>
      </c>
      <c r="D1348" s="36" t="n"/>
      <c r="E1348" s="38" t="n"/>
      <c r="F1348" s="39" t="n"/>
      <c r="G1348" s="36" t="n"/>
      <c r="H1348" s="40" t="n"/>
      <c r="I1348" s="40" t="n"/>
      <c r="J1348" s="41">
        <f>IF(ISNUMBER(H1348),H1348,IF(AND(D1348="労務費",TRIM(E1348)&lt;&gt;""),IFERROR(INDEX('設定'!$G$12:$G$31,MATCH(TRIM(E1348),'設定'!$J$12:$J$31,0)),""),""))</f>
        <v/>
      </c>
      <c r="K1348" s="30">
        <f>IF(AND(ISNUMBER(F1348),ISNUMBER(J1348)),ROUND(F1348*J1348,0),IF(ISNUMBER(I1348),I1348,""))</f>
        <v/>
      </c>
      <c r="L1348" s="33" t="n"/>
      <c r="M1348" s="34">
        <f>IF(COUNTA(A1348:B1348,D1348:I1348,L1348)=0,"",IF(B1348="","案件番号がありません",IF(ISNA(MATCH(B1348,'案件'!$A$6:$A$105,0)),"案件シートに無い番号です",IF(NOT(OR(D1348="材料費",D1348="労務費",D1348="外注費",D1348="経費")),"費目を4つから選んでください",IF(K1348="",IF(AND(ISNUMBER(F1348),NOT(ISNUMBER(J1348))),IF(D1348="労務費","単価がありません（設定の作業者名と同じ書き方に）","単価がありません"),IF(AND(ISNUMBER(J1348),NOT(ISNUMBER(F1348))),"数量がありません","金額がありません")),IF(NOT(ISNUMBER(A1348)),"日付がありません（月別集計に入りません）",IF(AND(ISNUMBER(F1348),ISNUMBER(J1348),ISNUMBER(I1348)),"数量×単価を使いました（金額の欄は使っていません）","")))))))</f>
        <v/>
      </c>
      <c r="N1348" s="91">
        <f>IF(AND(B1348&lt;&gt;"",B1348='案件カード'!$C$3),COUNTIF($B$5:B1348,'案件カード'!$C$3),"")</f>
        <v/>
      </c>
      <c r="O1348" s="91">
        <f>IF(ISNUMBER(K1348),IF(B1348="",K1348,IF(AND(ISNUMBER(MATCH(B1348,'案件'!$A$6:$A$105,0)),OR(D1348="材料費",D1348="労務費",D1348="外注費",D1348="経費")),0,K1348)),0)</f>
        <v/>
      </c>
    </row>
    <row r="1349" ht="16" customHeight="1">
      <c r="A1349" s="35" t="n"/>
      <c r="B1349" s="36" t="n"/>
      <c r="C1349" s="37">
        <f>IF(B1349="","",IFERROR(INDEX('案件'!$B$6:$B$105,MATCH(B1349,'案件'!$A$6:$A$105,0))&amp;"","（案件シートに無い番号）"))</f>
        <v/>
      </c>
      <c r="D1349" s="36" t="n"/>
      <c r="E1349" s="38" t="n"/>
      <c r="F1349" s="39" t="n"/>
      <c r="G1349" s="36" t="n"/>
      <c r="H1349" s="40" t="n"/>
      <c r="I1349" s="40" t="n"/>
      <c r="J1349" s="41">
        <f>IF(ISNUMBER(H1349),H1349,IF(AND(D1349="労務費",TRIM(E1349)&lt;&gt;""),IFERROR(INDEX('設定'!$G$12:$G$31,MATCH(TRIM(E1349),'設定'!$J$12:$J$31,0)),""),""))</f>
        <v/>
      </c>
      <c r="K1349" s="30">
        <f>IF(AND(ISNUMBER(F1349),ISNUMBER(J1349)),ROUND(F1349*J1349,0),IF(ISNUMBER(I1349),I1349,""))</f>
        <v/>
      </c>
      <c r="L1349" s="33" t="n"/>
      <c r="M1349" s="34">
        <f>IF(COUNTA(A1349:B1349,D1349:I1349,L1349)=0,"",IF(B1349="","案件番号がありません",IF(ISNA(MATCH(B1349,'案件'!$A$6:$A$105,0)),"案件シートに無い番号です",IF(NOT(OR(D1349="材料費",D1349="労務費",D1349="外注費",D1349="経費")),"費目を4つから選んでください",IF(K1349="",IF(AND(ISNUMBER(F1349),NOT(ISNUMBER(J1349))),IF(D1349="労務費","単価がありません（設定の作業者名と同じ書き方に）","単価がありません"),IF(AND(ISNUMBER(J1349),NOT(ISNUMBER(F1349))),"数量がありません","金額がありません")),IF(NOT(ISNUMBER(A1349)),"日付がありません（月別集計に入りません）",IF(AND(ISNUMBER(F1349),ISNUMBER(J1349),ISNUMBER(I1349)),"数量×単価を使いました（金額の欄は使っていません）","")))))))</f>
        <v/>
      </c>
      <c r="N1349" s="91">
        <f>IF(AND(B1349&lt;&gt;"",B1349='案件カード'!$C$3),COUNTIF($B$5:B1349,'案件カード'!$C$3),"")</f>
        <v/>
      </c>
      <c r="O1349" s="91">
        <f>IF(ISNUMBER(K1349),IF(B1349="",K1349,IF(AND(ISNUMBER(MATCH(B1349,'案件'!$A$6:$A$105,0)),OR(D1349="材料費",D1349="労務費",D1349="外注費",D1349="経費")),0,K1349)),0)</f>
        <v/>
      </c>
    </row>
    <row r="1350" ht="16" customHeight="1">
      <c r="A1350" s="35" t="n"/>
      <c r="B1350" s="36" t="n"/>
      <c r="C1350" s="37">
        <f>IF(B1350="","",IFERROR(INDEX('案件'!$B$6:$B$105,MATCH(B1350,'案件'!$A$6:$A$105,0))&amp;"","（案件シートに無い番号）"))</f>
        <v/>
      </c>
      <c r="D1350" s="36" t="n"/>
      <c r="E1350" s="38" t="n"/>
      <c r="F1350" s="39" t="n"/>
      <c r="G1350" s="36" t="n"/>
      <c r="H1350" s="40" t="n"/>
      <c r="I1350" s="40" t="n"/>
      <c r="J1350" s="41">
        <f>IF(ISNUMBER(H1350),H1350,IF(AND(D1350="労務費",TRIM(E1350)&lt;&gt;""),IFERROR(INDEX('設定'!$G$12:$G$31,MATCH(TRIM(E1350),'設定'!$J$12:$J$31,0)),""),""))</f>
        <v/>
      </c>
      <c r="K1350" s="30">
        <f>IF(AND(ISNUMBER(F1350),ISNUMBER(J1350)),ROUND(F1350*J1350,0),IF(ISNUMBER(I1350),I1350,""))</f>
        <v/>
      </c>
      <c r="L1350" s="33" t="n"/>
      <c r="M1350" s="34">
        <f>IF(COUNTA(A1350:B1350,D1350:I1350,L1350)=0,"",IF(B1350="","案件番号がありません",IF(ISNA(MATCH(B1350,'案件'!$A$6:$A$105,0)),"案件シートに無い番号です",IF(NOT(OR(D1350="材料費",D1350="労務費",D1350="外注費",D1350="経費")),"費目を4つから選んでください",IF(K1350="",IF(AND(ISNUMBER(F1350),NOT(ISNUMBER(J1350))),IF(D1350="労務費","単価がありません（設定の作業者名と同じ書き方に）","単価がありません"),IF(AND(ISNUMBER(J1350),NOT(ISNUMBER(F1350))),"数量がありません","金額がありません")),IF(NOT(ISNUMBER(A1350)),"日付がありません（月別集計に入りません）",IF(AND(ISNUMBER(F1350),ISNUMBER(J1350),ISNUMBER(I1350)),"数量×単価を使いました（金額の欄は使っていません）","")))))))</f>
        <v/>
      </c>
      <c r="N1350" s="91">
        <f>IF(AND(B1350&lt;&gt;"",B1350='案件カード'!$C$3),COUNTIF($B$5:B1350,'案件カード'!$C$3),"")</f>
        <v/>
      </c>
      <c r="O1350" s="91">
        <f>IF(ISNUMBER(K1350),IF(B1350="",K1350,IF(AND(ISNUMBER(MATCH(B1350,'案件'!$A$6:$A$105,0)),OR(D1350="材料費",D1350="労務費",D1350="外注費",D1350="経費")),0,K1350)),0)</f>
        <v/>
      </c>
    </row>
    <row r="1351" ht="16" customHeight="1">
      <c r="A1351" s="35" t="n"/>
      <c r="B1351" s="36" t="n"/>
      <c r="C1351" s="37">
        <f>IF(B1351="","",IFERROR(INDEX('案件'!$B$6:$B$105,MATCH(B1351,'案件'!$A$6:$A$105,0))&amp;"","（案件シートに無い番号）"))</f>
        <v/>
      </c>
      <c r="D1351" s="36" t="n"/>
      <c r="E1351" s="38" t="n"/>
      <c r="F1351" s="39" t="n"/>
      <c r="G1351" s="36" t="n"/>
      <c r="H1351" s="40" t="n"/>
      <c r="I1351" s="40" t="n"/>
      <c r="J1351" s="41">
        <f>IF(ISNUMBER(H1351),H1351,IF(AND(D1351="労務費",TRIM(E1351)&lt;&gt;""),IFERROR(INDEX('設定'!$G$12:$G$31,MATCH(TRIM(E1351),'設定'!$J$12:$J$31,0)),""),""))</f>
        <v/>
      </c>
      <c r="K1351" s="30">
        <f>IF(AND(ISNUMBER(F1351),ISNUMBER(J1351)),ROUND(F1351*J1351,0),IF(ISNUMBER(I1351),I1351,""))</f>
        <v/>
      </c>
      <c r="L1351" s="33" t="n"/>
      <c r="M1351" s="34">
        <f>IF(COUNTA(A1351:B1351,D1351:I1351,L1351)=0,"",IF(B1351="","案件番号がありません",IF(ISNA(MATCH(B1351,'案件'!$A$6:$A$105,0)),"案件シートに無い番号です",IF(NOT(OR(D1351="材料費",D1351="労務費",D1351="外注費",D1351="経費")),"費目を4つから選んでください",IF(K1351="",IF(AND(ISNUMBER(F1351),NOT(ISNUMBER(J1351))),IF(D1351="労務費","単価がありません（設定の作業者名と同じ書き方に）","単価がありません"),IF(AND(ISNUMBER(J1351),NOT(ISNUMBER(F1351))),"数量がありません","金額がありません")),IF(NOT(ISNUMBER(A1351)),"日付がありません（月別集計に入りません）",IF(AND(ISNUMBER(F1351),ISNUMBER(J1351),ISNUMBER(I1351)),"数量×単価を使いました（金額の欄は使っていません）","")))))))</f>
        <v/>
      </c>
      <c r="N1351" s="91">
        <f>IF(AND(B1351&lt;&gt;"",B1351='案件カード'!$C$3),COUNTIF($B$5:B1351,'案件カード'!$C$3),"")</f>
        <v/>
      </c>
      <c r="O1351" s="91">
        <f>IF(ISNUMBER(K1351),IF(B1351="",K1351,IF(AND(ISNUMBER(MATCH(B1351,'案件'!$A$6:$A$105,0)),OR(D1351="材料費",D1351="労務費",D1351="外注費",D1351="経費")),0,K1351)),0)</f>
        <v/>
      </c>
    </row>
    <row r="1352" ht="16" customHeight="1">
      <c r="A1352" s="35" t="n"/>
      <c r="B1352" s="36" t="n"/>
      <c r="C1352" s="37">
        <f>IF(B1352="","",IFERROR(INDEX('案件'!$B$6:$B$105,MATCH(B1352,'案件'!$A$6:$A$105,0))&amp;"","（案件シートに無い番号）"))</f>
        <v/>
      </c>
      <c r="D1352" s="36" t="n"/>
      <c r="E1352" s="38" t="n"/>
      <c r="F1352" s="39" t="n"/>
      <c r="G1352" s="36" t="n"/>
      <c r="H1352" s="40" t="n"/>
      <c r="I1352" s="40" t="n"/>
      <c r="J1352" s="41">
        <f>IF(ISNUMBER(H1352),H1352,IF(AND(D1352="労務費",TRIM(E1352)&lt;&gt;""),IFERROR(INDEX('設定'!$G$12:$G$31,MATCH(TRIM(E1352),'設定'!$J$12:$J$31,0)),""),""))</f>
        <v/>
      </c>
      <c r="K1352" s="30">
        <f>IF(AND(ISNUMBER(F1352),ISNUMBER(J1352)),ROUND(F1352*J1352,0),IF(ISNUMBER(I1352),I1352,""))</f>
        <v/>
      </c>
      <c r="L1352" s="33" t="n"/>
      <c r="M1352" s="34">
        <f>IF(COUNTA(A1352:B1352,D1352:I1352,L1352)=0,"",IF(B1352="","案件番号がありません",IF(ISNA(MATCH(B1352,'案件'!$A$6:$A$105,0)),"案件シートに無い番号です",IF(NOT(OR(D1352="材料費",D1352="労務費",D1352="外注費",D1352="経費")),"費目を4つから選んでください",IF(K1352="",IF(AND(ISNUMBER(F1352),NOT(ISNUMBER(J1352))),IF(D1352="労務費","単価がありません（設定の作業者名と同じ書き方に）","単価がありません"),IF(AND(ISNUMBER(J1352),NOT(ISNUMBER(F1352))),"数量がありません","金額がありません")),IF(NOT(ISNUMBER(A1352)),"日付がありません（月別集計に入りません）",IF(AND(ISNUMBER(F1352),ISNUMBER(J1352),ISNUMBER(I1352)),"数量×単価を使いました（金額の欄は使っていません）","")))))))</f>
        <v/>
      </c>
      <c r="N1352" s="91">
        <f>IF(AND(B1352&lt;&gt;"",B1352='案件カード'!$C$3),COUNTIF($B$5:B1352,'案件カード'!$C$3),"")</f>
        <v/>
      </c>
      <c r="O1352" s="91">
        <f>IF(ISNUMBER(K1352),IF(B1352="",K1352,IF(AND(ISNUMBER(MATCH(B1352,'案件'!$A$6:$A$105,0)),OR(D1352="材料費",D1352="労務費",D1352="外注費",D1352="経費")),0,K1352)),0)</f>
        <v/>
      </c>
    </row>
    <row r="1353" ht="16" customHeight="1">
      <c r="A1353" s="35" t="n"/>
      <c r="B1353" s="36" t="n"/>
      <c r="C1353" s="37">
        <f>IF(B1353="","",IFERROR(INDEX('案件'!$B$6:$B$105,MATCH(B1353,'案件'!$A$6:$A$105,0))&amp;"","（案件シートに無い番号）"))</f>
        <v/>
      </c>
      <c r="D1353" s="36" t="n"/>
      <c r="E1353" s="38" t="n"/>
      <c r="F1353" s="39" t="n"/>
      <c r="G1353" s="36" t="n"/>
      <c r="H1353" s="40" t="n"/>
      <c r="I1353" s="40" t="n"/>
      <c r="J1353" s="41">
        <f>IF(ISNUMBER(H1353),H1353,IF(AND(D1353="労務費",TRIM(E1353)&lt;&gt;""),IFERROR(INDEX('設定'!$G$12:$G$31,MATCH(TRIM(E1353),'設定'!$J$12:$J$31,0)),""),""))</f>
        <v/>
      </c>
      <c r="K1353" s="30">
        <f>IF(AND(ISNUMBER(F1353),ISNUMBER(J1353)),ROUND(F1353*J1353,0),IF(ISNUMBER(I1353),I1353,""))</f>
        <v/>
      </c>
      <c r="L1353" s="33" t="n"/>
      <c r="M1353" s="34">
        <f>IF(COUNTA(A1353:B1353,D1353:I1353,L1353)=0,"",IF(B1353="","案件番号がありません",IF(ISNA(MATCH(B1353,'案件'!$A$6:$A$105,0)),"案件シートに無い番号です",IF(NOT(OR(D1353="材料費",D1353="労務費",D1353="外注費",D1353="経費")),"費目を4つから選んでください",IF(K1353="",IF(AND(ISNUMBER(F1353),NOT(ISNUMBER(J1353))),IF(D1353="労務費","単価がありません（設定の作業者名と同じ書き方に）","単価がありません"),IF(AND(ISNUMBER(J1353),NOT(ISNUMBER(F1353))),"数量がありません","金額がありません")),IF(NOT(ISNUMBER(A1353)),"日付がありません（月別集計に入りません）",IF(AND(ISNUMBER(F1353),ISNUMBER(J1353),ISNUMBER(I1353)),"数量×単価を使いました（金額の欄は使っていません）","")))))))</f>
        <v/>
      </c>
      <c r="N1353" s="91">
        <f>IF(AND(B1353&lt;&gt;"",B1353='案件カード'!$C$3),COUNTIF($B$5:B1353,'案件カード'!$C$3),"")</f>
        <v/>
      </c>
      <c r="O1353" s="91">
        <f>IF(ISNUMBER(K1353),IF(B1353="",K1353,IF(AND(ISNUMBER(MATCH(B1353,'案件'!$A$6:$A$105,0)),OR(D1353="材料費",D1353="労務費",D1353="外注費",D1353="経費")),0,K1353)),0)</f>
        <v/>
      </c>
    </row>
    <row r="1354" ht="16" customHeight="1">
      <c r="A1354" s="35" t="n"/>
      <c r="B1354" s="36" t="n"/>
      <c r="C1354" s="37">
        <f>IF(B1354="","",IFERROR(INDEX('案件'!$B$6:$B$105,MATCH(B1354,'案件'!$A$6:$A$105,0))&amp;"","（案件シートに無い番号）"))</f>
        <v/>
      </c>
      <c r="D1354" s="36" t="n"/>
      <c r="E1354" s="38" t="n"/>
      <c r="F1354" s="39" t="n"/>
      <c r="G1354" s="36" t="n"/>
      <c r="H1354" s="40" t="n"/>
      <c r="I1354" s="40" t="n"/>
      <c r="J1354" s="41">
        <f>IF(ISNUMBER(H1354),H1354,IF(AND(D1354="労務費",TRIM(E1354)&lt;&gt;""),IFERROR(INDEX('設定'!$G$12:$G$31,MATCH(TRIM(E1354),'設定'!$J$12:$J$31,0)),""),""))</f>
        <v/>
      </c>
      <c r="K1354" s="30">
        <f>IF(AND(ISNUMBER(F1354),ISNUMBER(J1354)),ROUND(F1354*J1354,0),IF(ISNUMBER(I1354),I1354,""))</f>
        <v/>
      </c>
      <c r="L1354" s="33" t="n"/>
      <c r="M1354" s="34">
        <f>IF(COUNTA(A1354:B1354,D1354:I1354,L1354)=0,"",IF(B1354="","案件番号がありません",IF(ISNA(MATCH(B1354,'案件'!$A$6:$A$105,0)),"案件シートに無い番号です",IF(NOT(OR(D1354="材料費",D1354="労務費",D1354="外注費",D1354="経費")),"費目を4つから選んでください",IF(K1354="",IF(AND(ISNUMBER(F1354),NOT(ISNUMBER(J1354))),IF(D1354="労務費","単価がありません（設定の作業者名と同じ書き方に）","単価がありません"),IF(AND(ISNUMBER(J1354),NOT(ISNUMBER(F1354))),"数量がありません","金額がありません")),IF(NOT(ISNUMBER(A1354)),"日付がありません（月別集計に入りません）",IF(AND(ISNUMBER(F1354),ISNUMBER(J1354),ISNUMBER(I1354)),"数量×単価を使いました（金額の欄は使っていません）","")))))))</f>
        <v/>
      </c>
      <c r="N1354" s="91">
        <f>IF(AND(B1354&lt;&gt;"",B1354='案件カード'!$C$3),COUNTIF($B$5:B1354,'案件カード'!$C$3),"")</f>
        <v/>
      </c>
      <c r="O1354" s="91">
        <f>IF(ISNUMBER(K1354),IF(B1354="",K1354,IF(AND(ISNUMBER(MATCH(B1354,'案件'!$A$6:$A$105,0)),OR(D1354="材料費",D1354="労務費",D1354="外注費",D1354="経費")),0,K1354)),0)</f>
        <v/>
      </c>
    </row>
    <row r="1355" ht="16" customHeight="1">
      <c r="A1355" s="35" t="n"/>
      <c r="B1355" s="36" t="n"/>
      <c r="C1355" s="37">
        <f>IF(B1355="","",IFERROR(INDEX('案件'!$B$6:$B$105,MATCH(B1355,'案件'!$A$6:$A$105,0))&amp;"","（案件シートに無い番号）"))</f>
        <v/>
      </c>
      <c r="D1355" s="36" t="n"/>
      <c r="E1355" s="38" t="n"/>
      <c r="F1355" s="39" t="n"/>
      <c r="G1355" s="36" t="n"/>
      <c r="H1355" s="40" t="n"/>
      <c r="I1355" s="40" t="n"/>
      <c r="J1355" s="41">
        <f>IF(ISNUMBER(H1355),H1355,IF(AND(D1355="労務費",TRIM(E1355)&lt;&gt;""),IFERROR(INDEX('設定'!$G$12:$G$31,MATCH(TRIM(E1355),'設定'!$J$12:$J$31,0)),""),""))</f>
        <v/>
      </c>
      <c r="K1355" s="30">
        <f>IF(AND(ISNUMBER(F1355),ISNUMBER(J1355)),ROUND(F1355*J1355,0),IF(ISNUMBER(I1355),I1355,""))</f>
        <v/>
      </c>
      <c r="L1355" s="33" t="n"/>
      <c r="M1355" s="34">
        <f>IF(COUNTA(A1355:B1355,D1355:I1355,L1355)=0,"",IF(B1355="","案件番号がありません",IF(ISNA(MATCH(B1355,'案件'!$A$6:$A$105,0)),"案件シートに無い番号です",IF(NOT(OR(D1355="材料費",D1355="労務費",D1355="外注費",D1355="経費")),"費目を4つから選んでください",IF(K1355="",IF(AND(ISNUMBER(F1355),NOT(ISNUMBER(J1355))),IF(D1355="労務費","単価がありません（設定の作業者名と同じ書き方に）","単価がありません"),IF(AND(ISNUMBER(J1355),NOT(ISNUMBER(F1355))),"数量がありません","金額がありません")),IF(NOT(ISNUMBER(A1355)),"日付がありません（月別集計に入りません）",IF(AND(ISNUMBER(F1355),ISNUMBER(J1355),ISNUMBER(I1355)),"数量×単価を使いました（金額の欄は使っていません）","")))))))</f>
        <v/>
      </c>
      <c r="N1355" s="91">
        <f>IF(AND(B1355&lt;&gt;"",B1355='案件カード'!$C$3),COUNTIF($B$5:B1355,'案件カード'!$C$3),"")</f>
        <v/>
      </c>
      <c r="O1355" s="91">
        <f>IF(ISNUMBER(K1355),IF(B1355="",K1355,IF(AND(ISNUMBER(MATCH(B1355,'案件'!$A$6:$A$105,0)),OR(D1355="材料費",D1355="労務費",D1355="外注費",D1355="経費")),0,K1355)),0)</f>
        <v/>
      </c>
    </row>
    <row r="1356" ht="16" customHeight="1">
      <c r="A1356" s="35" t="n"/>
      <c r="B1356" s="36" t="n"/>
      <c r="C1356" s="37">
        <f>IF(B1356="","",IFERROR(INDEX('案件'!$B$6:$B$105,MATCH(B1356,'案件'!$A$6:$A$105,0))&amp;"","（案件シートに無い番号）"))</f>
        <v/>
      </c>
      <c r="D1356" s="36" t="n"/>
      <c r="E1356" s="38" t="n"/>
      <c r="F1356" s="39" t="n"/>
      <c r="G1356" s="36" t="n"/>
      <c r="H1356" s="40" t="n"/>
      <c r="I1356" s="40" t="n"/>
      <c r="J1356" s="41">
        <f>IF(ISNUMBER(H1356),H1356,IF(AND(D1356="労務費",TRIM(E1356)&lt;&gt;""),IFERROR(INDEX('設定'!$G$12:$G$31,MATCH(TRIM(E1356),'設定'!$J$12:$J$31,0)),""),""))</f>
        <v/>
      </c>
      <c r="K1356" s="30">
        <f>IF(AND(ISNUMBER(F1356),ISNUMBER(J1356)),ROUND(F1356*J1356,0),IF(ISNUMBER(I1356),I1356,""))</f>
        <v/>
      </c>
      <c r="L1356" s="33" t="n"/>
      <c r="M1356" s="34">
        <f>IF(COUNTA(A1356:B1356,D1356:I1356,L1356)=0,"",IF(B1356="","案件番号がありません",IF(ISNA(MATCH(B1356,'案件'!$A$6:$A$105,0)),"案件シートに無い番号です",IF(NOT(OR(D1356="材料費",D1356="労務費",D1356="外注費",D1356="経費")),"費目を4つから選んでください",IF(K1356="",IF(AND(ISNUMBER(F1356),NOT(ISNUMBER(J1356))),IF(D1356="労務費","単価がありません（設定の作業者名と同じ書き方に）","単価がありません"),IF(AND(ISNUMBER(J1356),NOT(ISNUMBER(F1356))),"数量がありません","金額がありません")),IF(NOT(ISNUMBER(A1356)),"日付がありません（月別集計に入りません）",IF(AND(ISNUMBER(F1356),ISNUMBER(J1356),ISNUMBER(I1356)),"数量×単価を使いました（金額の欄は使っていません）","")))))))</f>
        <v/>
      </c>
      <c r="N1356" s="91">
        <f>IF(AND(B1356&lt;&gt;"",B1356='案件カード'!$C$3),COUNTIF($B$5:B1356,'案件カード'!$C$3),"")</f>
        <v/>
      </c>
      <c r="O1356" s="91">
        <f>IF(ISNUMBER(K1356),IF(B1356="",K1356,IF(AND(ISNUMBER(MATCH(B1356,'案件'!$A$6:$A$105,0)),OR(D1356="材料費",D1356="労務費",D1356="外注費",D1356="経費")),0,K1356)),0)</f>
        <v/>
      </c>
    </row>
    <row r="1357" ht="16" customHeight="1">
      <c r="A1357" s="35" t="n"/>
      <c r="B1357" s="36" t="n"/>
      <c r="C1357" s="37">
        <f>IF(B1357="","",IFERROR(INDEX('案件'!$B$6:$B$105,MATCH(B1357,'案件'!$A$6:$A$105,0))&amp;"","（案件シートに無い番号）"))</f>
        <v/>
      </c>
      <c r="D1357" s="36" t="n"/>
      <c r="E1357" s="38" t="n"/>
      <c r="F1357" s="39" t="n"/>
      <c r="G1357" s="36" t="n"/>
      <c r="H1357" s="40" t="n"/>
      <c r="I1357" s="40" t="n"/>
      <c r="J1357" s="41">
        <f>IF(ISNUMBER(H1357),H1357,IF(AND(D1357="労務費",TRIM(E1357)&lt;&gt;""),IFERROR(INDEX('設定'!$G$12:$G$31,MATCH(TRIM(E1357),'設定'!$J$12:$J$31,0)),""),""))</f>
        <v/>
      </c>
      <c r="K1357" s="30">
        <f>IF(AND(ISNUMBER(F1357),ISNUMBER(J1357)),ROUND(F1357*J1357,0),IF(ISNUMBER(I1357),I1357,""))</f>
        <v/>
      </c>
      <c r="L1357" s="33" t="n"/>
      <c r="M1357" s="34">
        <f>IF(COUNTA(A1357:B1357,D1357:I1357,L1357)=0,"",IF(B1357="","案件番号がありません",IF(ISNA(MATCH(B1357,'案件'!$A$6:$A$105,0)),"案件シートに無い番号です",IF(NOT(OR(D1357="材料費",D1357="労務費",D1357="外注費",D1357="経費")),"費目を4つから選んでください",IF(K1357="",IF(AND(ISNUMBER(F1357),NOT(ISNUMBER(J1357))),IF(D1357="労務費","単価がありません（設定の作業者名と同じ書き方に）","単価がありません"),IF(AND(ISNUMBER(J1357),NOT(ISNUMBER(F1357))),"数量がありません","金額がありません")),IF(NOT(ISNUMBER(A1357)),"日付がありません（月別集計に入りません）",IF(AND(ISNUMBER(F1357),ISNUMBER(J1357),ISNUMBER(I1357)),"数量×単価を使いました（金額の欄は使っていません）","")))))))</f>
        <v/>
      </c>
      <c r="N1357" s="91">
        <f>IF(AND(B1357&lt;&gt;"",B1357='案件カード'!$C$3),COUNTIF($B$5:B1357,'案件カード'!$C$3),"")</f>
        <v/>
      </c>
      <c r="O1357" s="91">
        <f>IF(ISNUMBER(K1357),IF(B1357="",K1357,IF(AND(ISNUMBER(MATCH(B1357,'案件'!$A$6:$A$105,0)),OR(D1357="材料費",D1357="労務費",D1357="外注費",D1357="経費")),0,K1357)),0)</f>
        <v/>
      </c>
    </row>
    <row r="1358" ht="16" customHeight="1">
      <c r="A1358" s="35" t="n"/>
      <c r="B1358" s="36" t="n"/>
      <c r="C1358" s="37">
        <f>IF(B1358="","",IFERROR(INDEX('案件'!$B$6:$B$105,MATCH(B1358,'案件'!$A$6:$A$105,0))&amp;"","（案件シートに無い番号）"))</f>
        <v/>
      </c>
      <c r="D1358" s="36" t="n"/>
      <c r="E1358" s="38" t="n"/>
      <c r="F1358" s="39" t="n"/>
      <c r="G1358" s="36" t="n"/>
      <c r="H1358" s="40" t="n"/>
      <c r="I1358" s="40" t="n"/>
      <c r="J1358" s="41">
        <f>IF(ISNUMBER(H1358),H1358,IF(AND(D1358="労務費",TRIM(E1358)&lt;&gt;""),IFERROR(INDEX('設定'!$G$12:$G$31,MATCH(TRIM(E1358),'設定'!$J$12:$J$31,0)),""),""))</f>
        <v/>
      </c>
      <c r="K1358" s="30">
        <f>IF(AND(ISNUMBER(F1358),ISNUMBER(J1358)),ROUND(F1358*J1358,0),IF(ISNUMBER(I1358),I1358,""))</f>
        <v/>
      </c>
      <c r="L1358" s="33" t="n"/>
      <c r="M1358" s="34">
        <f>IF(COUNTA(A1358:B1358,D1358:I1358,L1358)=0,"",IF(B1358="","案件番号がありません",IF(ISNA(MATCH(B1358,'案件'!$A$6:$A$105,0)),"案件シートに無い番号です",IF(NOT(OR(D1358="材料費",D1358="労務費",D1358="外注費",D1358="経費")),"費目を4つから選んでください",IF(K1358="",IF(AND(ISNUMBER(F1358),NOT(ISNUMBER(J1358))),IF(D1358="労務費","単価がありません（設定の作業者名と同じ書き方に）","単価がありません"),IF(AND(ISNUMBER(J1358),NOT(ISNUMBER(F1358))),"数量がありません","金額がありません")),IF(NOT(ISNUMBER(A1358)),"日付がありません（月別集計に入りません）",IF(AND(ISNUMBER(F1358),ISNUMBER(J1358),ISNUMBER(I1358)),"数量×単価を使いました（金額の欄は使っていません）","")))))))</f>
        <v/>
      </c>
      <c r="N1358" s="91">
        <f>IF(AND(B1358&lt;&gt;"",B1358='案件カード'!$C$3),COUNTIF($B$5:B1358,'案件カード'!$C$3),"")</f>
        <v/>
      </c>
      <c r="O1358" s="91">
        <f>IF(ISNUMBER(K1358),IF(B1358="",K1358,IF(AND(ISNUMBER(MATCH(B1358,'案件'!$A$6:$A$105,0)),OR(D1358="材料費",D1358="労務費",D1358="外注費",D1358="経費")),0,K1358)),0)</f>
        <v/>
      </c>
    </row>
    <row r="1359" ht="16" customHeight="1">
      <c r="A1359" s="35" t="n"/>
      <c r="B1359" s="36" t="n"/>
      <c r="C1359" s="37">
        <f>IF(B1359="","",IFERROR(INDEX('案件'!$B$6:$B$105,MATCH(B1359,'案件'!$A$6:$A$105,0))&amp;"","（案件シートに無い番号）"))</f>
        <v/>
      </c>
      <c r="D1359" s="36" t="n"/>
      <c r="E1359" s="38" t="n"/>
      <c r="F1359" s="39" t="n"/>
      <c r="G1359" s="36" t="n"/>
      <c r="H1359" s="40" t="n"/>
      <c r="I1359" s="40" t="n"/>
      <c r="J1359" s="41">
        <f>IF(ISNUMBER(H1359),H1359,IF(AND(D1359="労務費",TRIM(E1359)&lt;&gt;""),IFERROR(INDEX('設定'!$G$12:$G$31,MATCH(TRIM(E1359),'設定'!$J$12:$J$31,0)),""),""))</f>
        <v/>
      </c>
      <c r="K1359" s="30">
        <f>IF(AND(ISNUMBER(F1359),ISNUMBER(J1359)),ROUND(F1359*J1359,0),IF(ISNUMBER(I1359),I1359,""))</f>
        <v/>
      </c>
      <c r="L1359" s="33" t="n"/>
      <c r="M1359" s="34">
        <f>IF(COUNTA(A1359:B1359,D1359:I1359,L1359)=0,"",IF(B1359="","案件番号がありません",IF(ISNA(MATCH(B1359,'案件'!$A$6:$A$105,0)),"案件シートに無い番号です",IF(NOT(OR(D1359="材料費",D1359="労務費",D1359="外注費",D1359="経費")),"費目を4つから選んでください",IF(K1359="",IF(AND(ISNUMBER(F1359),NOT(ISNUMBER(J1359))),IF(D1359="労務費","単価がありません（設定の作業者名と同じ書き方に）","単価がありません"),IF(AND(ISNUMBER(J1359),NOT(ISNUMBER(F1359))),"数量がありません","金額がありません")),IF(NOT(ISNUMBER(A1359)),"日付がありません（月別集計に入りません）",IF(AND(ISNUMBER(F1359),ISNUMBER(J1359),ISNUMBER(I1359)),"数量×単価を使いました（金額の欄は使っていません）","")))))))</f>
        <v/>
      </c>
      <c r="N1359" s="91">
        <f>IF(AND(B1359&lt;&gt;"",B1359='案件カード'!$C$3),COUNTIF($B$5:B1359,'案件カード'!$C$3),"")</f>
        <v/>
      </c>
      <c r="O1359" s="91">
        <f>IF(ISNUMBER(K1359),IF(B1359="",K1359,IF(AND(ISNUMBER(MATCH(B1359,'案件'!$A$6:$A$105,0)),OR(D1359="材料費",D1359="労務費",D1359="外注費",D1359="経費")),0,K1359)),0)</f>
        <v/>
      </c>
    </row>
    <row r="1360" ht="16" customHeight="1">
      <c r="A1360" s="35" t="n"/>
      <c r="B1360" s="36" t="n"/>
      <c r="C1360" s="37">
        <f>IF(B1360="","",IFERROR(INDEX('案件'!$B$6:$B$105,MATCH(B1360,'案件'!$A$6:$A$105,0))&amp;"","（案件シートに無い番号）"))</f>
        <v/>
      </c>
      <c r="D1360" s="36" t="n"/>
      <c r="E1360" s="38" t="n"/>
      <c r="F1360" s="39" t="n"/>
      <c r="G1360" s="36" t="n"/>
      <c r="H1360" s="40" t="n"/>
      <c r="I1360" s="40" t="n"/>
      <c r="J1360" s="41">
        <f>IF(ISNUMBER(H1360),H1360,IF(AND(D1360="労務費",TRIM(E1360)&lt;&gt;""),IFERROR(INDEX('設定'!$G$12:$G$31,MATCH(TRIM(E1360),'設定'!$J$12:$J$31,0)),""),""))</f>
        <v/>
      </c>
      <c r="K1360" s="30">
        <f>IF(AND(ISNUMBER(F1360),ISNUMBER(J1360)),ROUND(F1360*J1360,0),IF(ISNUMBER(I1360),I1360,""))</f>
        <v/>
      </c>
      <c r="L1360" s="33" t="n"/>
      <c r="M1360" s="34">
        <f>IF(COUNTA(A1360:B1360,D1360:I1360,L1360)=0,"",IF(B1360="","案件番号がありません",IF(ISNA(MATCH(B1360,'案件'!$A$6:$A$105,0)),"案件シートに無い番号です",IF(NOT(OR(D1360="材料費",D1360="労務費",D1360="外注費",D1360="経費")),"費目を4つから選んでください",IF(K1360="",IF(AND(ISNUMBER(F1360),NOT(ISNUMBER(J1360))),IF(D1360="労務費","単価がありません（設定の作業者名と同じ書き方に）","単価がありません"),IF(AND(ISNUMBER(J1360),NOT(ISNUMBER(F1360))),"数量がありません","金額がありません")),IF(NOT(ISNUMBER(A1360)),"日付がありません（月別集計に入りません）",IF(AND(ISNUMBER(F1360),ISNUMBER(J1360),ISNUMBER(I1360)),"数量×単価を使いました（金額の欄は使っていません）","")))))))</f>
        <v/>
      </c>
      <c r="N1360" s="91">
        <f>IF(AND(B1360&lt;&gt;"",B1360='案件カード'!$C$3),COUNTIF($B$5:B1360,'案件カード'!$C$3),"")</f>
        <v/>
      </c>
      <c r="O1360" s="91">
        <f>IF(ISNUMBER(K1360),IF(B1360="",K1360,IF(AND(ISNUMBER(MATCH(B1360,'案件'!$A$6:$A$105,0)),OR(D1360="材料費",D1360="労務費",D1360="外注費",D1360="経費")),0,K1360)),0)</f>
        <v/>
      </c>
    </row>
    <row r="1361" ht="16" customHeight="1">
      <c r="A1361" s="35" t="n"/>
      <c r="B1361" s="36" t="n"/>
      <c r="C1361" s="37">
        <f>IF(B1361="","",IFERROR(INDEX('案件'!$B$6:$B$105,MATCH(B1361,'案件'!$A$6:$A$105,0))&amp;"","（案件シートに無い番号）"))</f>
        <v/>
      </c>
      <c r="D1361" s="36" t="n"/>
      <c r="E1361" s="38" t="n"/>
      <c r="F1361" s="39" t="n"/>
      <c r="G1361" s="36" t="n"/>
      <c r="H1361" s="40" t="n"/>
      <c r="I1361" s="40" t="n"/>
      <c r="J1361" s="41">
        <f>IF(ISNUMBER(H1361),H1361,IF(AND(D1361="労務費",TRIM(E1361)&lt;&gt;""),IFERROR(INDEX('設定'!$G$12:$G$31,MATCH(TRIM(E1361),'設定'!$J$12:$J$31,0)),""),""))</f>
        <v/>
      </c>
      <c r="K1361" s="30">
        <f>IF(AND(ISNUMBER(F1361),ISNUMBER(J1361)),ROUND(F1361*J1361,0),IF(ISNUMBER(I1361),I1361,""))</f>
        <v/>
      </c>
      <c r="L1361" s="33" t="n"/>
      <c r="M1361" s="34">
        <f>IF(COUNTA(A1361:B1361,D1361:I1361,L1361)=0,"",IF(B1361="","案件番号がありません",IF(ISNA(MATCH(B1361,'案件'!$A$6:$A$105,0)),"案件シートに無い番号です",IF(NOT(OR(D1361="材料費",D1361="労務費",D1361="外注費",D1361="経費")),"費目を4つから選んでください",IF(K1361="",IF(AND(ISNUMBER(F1361),NOT(ISNUMBER(J1361))),IF(D1361="労務費","単価がありません（設定の作業者名と同じ書き方に）","単価がありません"),IF(AND(ISNUMBER(J1361),NOT(ISNUMBER(F1361))),"数量がありません","金額がありません")),IF(NOT(ISNUMBER(A1361)),"日付がありません（月別集計に入りません）",IF(AND(ISNUMBER(F1361),ISNUMBER(J1361),ISNUMBER(I1361)),"数量×単価を使いました（金額の欄は使っていません）","")))))))</f>
        <v/>
      </c>
      <c r="N1361" s="91">
        <f>IF(AND(B1361&lt;&gt;"",B1361='案件カード'!$C$3),COUNTIF($B$5:B1361,'案件カード'!$C$3),"")</f>
        <v/>
      </c>
      <c r="O1361" s="91">
        <f>IF(ISNUMBER(K1361),IF(B1361="",K1361,IF(AND(ISNUMBER(MATCH(B1361,'案件'!$A$6:$A$105,0)),OR(D1361="材料費",D1361="労務費",D1361="外注費",D1361="経費")),0,K1361)),0)</f>
        <v/>
      </c>
    </row>
    <row r="1362" ht="16" customHeight="1">
      <c r="A1362" s="35" t="n"/>
      <c r="B1362" s="36" t="n"/>
      <c r="C1362" s="37">
        <f>IF(B1362="","",IFERROR(INDEX('案件'!$B$6:$B$105,MATCH(B1362,'案件'!$A$6:$A$105,0))&amp;"","（案件シートに無い番号）"))</f>
        <v/>
      </c>
      <c r="D1362" s="36" t="n"/>
      <c r="E1362" s="38" t="n"/>
      <c r="F1362" s="39" t="n"/>
      <c r="G1362" s="36" t="n"/>
      <c r="H1362" s="40" t="n"/>
      <c r="I1362" s="40" t="n"/>
      <c r="J1362" s="41">
        <f>IF(ISNUMBER(H1362),H1362,IF(AND(D1362="労務費",TRIM(E1362)&lt;&gt;""),IFERROR(INDEX('設定'!$G$12:$G$31,MATCH(TRIM(E1362),'設定'!$J$12:$J$31,0)),""),""))</f>
        <v/>
      </c>
      <c r="K1362" s="30">
        <f>IF(AND(ISNUMBER(F1362),ISNUMBER(J1362)),ROUND(F1362*J1362,0),IF(ISNUMBER(I1362),I1362,""))</f>
        <v/>
      </c>
      <c r="L1362" s="33" t="n"/>
      <c r="M1362" s="34">
        <f>IF(COUNTA(A1362:B1362,D1362:I1362,L1362)=0,"",IF(B1362="","案件番号がありません",IF(ISNA(MATCH(B1362,'案件'!$A$6:$A$105,0)),"案件シートに無い番号です",IF(NOT(OR(D1362="材料費",D1362="労務費",D1362="外注費",D1362="経費")),"費目を4つから選んでください",IF(K1362="",IF(AND(ISNUMBER(F1362),NOT(ISNUMBER(J1362))),IF(D1362="労務費","単価がありません（設定の作業者名と同じ書き方に）","単価がありません"),IF(AND(ISNUMBER(J1362),NOT(ISNUMBER(F1362))),"数量がありません","金額がありません")),IF(NOT(ISNUMBER(A1362)),"日付がありません（月別集計に入りません）",IF(AND(ISNUMBER(F1362),ISNUMBER(J1362),ISNUMBER(I1362)),"数量×単価を使いました（金額の欄は使っていません）","")))))))</f>
        <v/>
      </c>
      <c r="N1362" s="91">
        <f>IF(AND(B1362&lt;&gt;"",B1362='案件カード'!$C$3),COUNTIF($B$5:B1362,'案件カード'!$C$3),"")</f>
        <v/>
      </c>
      <c r="O1362" s="91">
        <f>IF(ISNUMBER(K1362),IF(B1362="",K1362,IF(AND(ISNUMBER(MATCH(B1362,'案件'!$A$6:$A$105,0)),OR(D1362="材料費",D1362="労務費",D1362="外注費",D1362="経費")),0,K1362)),0)</f>
        <v/>
      </c>
    </row>
    <row r="1363" ht="16" customHeight="1">
      <c r="A1363" s="35" t="n"/>
      <c r="B1363" s="36" t="n"/>
      <c r="C1363" s="37">
        <f>IF(B1363="","",IFERROR(INDEX('案件'!$B$6:$B$105,MATCH(B1363,'案件'!$A$6:$A$105,0))&amp;"","（案件シートに無い番号）"))</f>
        <v/>
      </c>
      <c r="D1363" s="36" t="n"/>
      <c r="E1363" s="38" t="n"/>
      <c r="F1363" s="39" t="n"/>
      <c r="G1363" s="36" t="n"/>
      <c r="H1363" s="40" t="n"/>
      <c r="I1363" s="40" t="n"/>
      <c r="J1363" s="41">
        <f>IF(ISNUMBER(H1363),H1363,IF(AND(D1363="労務費",TRIM(E1363)&lt;&gt;""),IFERROR(INDEX('設定'!$G$12:$G$31,MATCH(TRIM(E1363),'設定'!$J$12:$J$31,0)),""),""))</f>
        <v/>
      </c>
      <c r="K1363" s="30">
        <f>IF(AND(ISNUMBER(F1363),ISNUMBER(J1363)),ROUND(F1363*J1363,0),IF(ISNUMBER(I1363),I1363,""))</f>
        <v/>
      </c>
      <c r="L1363" s="33" t="n"/>
      <c r="M1363" s="34">
        <f>IF(COUNTA(A1363:B1363,D1363:I1363,L1363)=0,"",IF(B1363="","案件番号がありません",IF(ISNA(MATCH(B1363,'案件'!$A$6:$A$105,0)),"案件シートに無い番号です",IF(NOT(OR(D1363="材料費",D1363="労務費",D1363="外注費",D1363="経費")),"費目を4つから選んでください",IF(K1363="",IF(AND(ISNUMBER(F1363),NOT(ISNUMBER(J1363))),IF(D1363="労務費","単価がありません（設定の作業者名と同じ書き方に）","単価がありません"),IF(AND(ISNUMBER(J1363),NOT(ISNUMBER(F1363))),"数量がありません","金額がありません")),IF(NOT(ISNUMBER(A1363)),"日付がありません（月別集計に入りません）",IF(AND(ISNUMBER(F1363),ISNUMBER(J1363),ISNUMBER(I1363)),"数量×単価を使いました（金額の欄は使っていません）","")))))))</f>
        <v/>
      </c>
      <c r="N1363" s="91">
        <f>IF(AND(B1363&lt;&gt;"",B1363='案件カード'!$C$3),COUNTIF($B$5:B1363,'案件カード'!$C$3),"")</f>
        <v/>
      </c>
      <c r="O1363" s="91">
        <f>IF(ISNUMBER(K1363),IF(B1363="",K1363,IF(AND(ISNUMBER(MATCH(B1363,'案件'!$A$6:$A$105,0)),OR(D1363="材料費",D1363="労務費",D1363="外注費",D1363="経費")),0,K1363)),0)</f>
        <v/>
      </c>
    </row>
    <row r="1364" ht="16" customHeight="1">
      <c r="A1364" s="35" t="n"/>
      <c r="B1364" s="36" t="n"/>
      <c r="C1364" s="37">
        <f>IF(B1364="","",IFERROR(INDEX('案件'!$B$6:$B$105,MATCH(B1364,'案件'!$A$6:$A$105,0))&amp;"","（案件シートに無い番号）"))</f>
        <v/>
      </c>
      <c r="D1364" s="36" t="n"/>
      <c r="E1364" s="38" t="n"/>
      <c r="F1364" s="39" t="n"/>
      <c r="G1364" s="36" t="n"/>
      <c r="H1364" s="40" t="n"/>
      <c r="I1364" s="40" t="n"/>
      <c r="J1364" s="41">
        <f>IF(ISNUMBER(H1364),H1364,IF(AND(D1364="労務費",TRIM(E1364)&lt;&gt;""),IFERROR(INDEX('設定'!$G$12:$G$31,MATCH(TRIM(E1364),'設定'!$J$12:$J$31,0)),""),""))</f>
        <v/>
      </c>
      <c r="K1364" s="30">
        <f>IF(AND(ISNUMBER(F1364),ISNUMBER(J1364)),ROUND(F1364*J1364,0),IF(ISNUMBER(I1364),I1364,""))</f>
        <v/>
      </c>
      <c r="L1364" s="33" t="n"/>
      <c r="M1364" s="34">
        <f>IF(COUNTA(A1364:B1364,D1364:I1364,L1364)=0,"",IF(B1364="","案件番号がありません",IF(ISNA(MATCH(B1364,'案件'!$A$6:$A$105,0)),"案件シートに無い番号です",IF(NOT(OR(D1364="材料費",D1364="労務費",D1364="外注費",D1364="経費")),"費目を4つから選んでください",IF(K1364="",IF(AND(ISNUMBER(F1364),NOT(ISNUMBER(J1364))),IF(D1364="労務費","単価がありません（設定の作業者名と同じ書き方に）","単価がありません"),IF(AND(ISNUMBER(J1364),NOT(ISNUMBER(F1364))),"数量がありません","金額がありません")),IF(NOT(ISNUMBER(A1364)),"日付がありません（月別集計に入りません）",IF(AND(ISNUMBER(F1364),ISNUMBER(J1364),ISNUMBER(I1364)),"数量×単価を使いました（金額の欄は使っていません）","")))))))</f>
        <v/>
      </c>
      <c r="N1364" s="91">
        <f>IF(AND(B1364&lt;&gt;"",B1364='案件カード'!$C$3),COUNTIF($B$5:B1364,'案件カード'!$C$3),"")</f>
        <v/>
      </c>
      <c r="O1364" s="91">
        <f>IF(ISNUMBER(K1364),IF(B1364="",K1364,IF(AND(ISNUMBER(MATCH(B1364,'案件'!$A$6:$A$105,0)),OR(D1364="材料費",D1364="労務費",D1364="外注費",D1364="経費")),0,K1364)),0)</f>
        <v/>
      </c>
    </row>
    <row r="1365" ht="16" customHeight="1">
      <c r="A1365" s="35" t="n"/>
      <c r="B1365" s="36" t="n"/>
      <c r="C1365" s="37">
        <f>IF(B1365="","",IFERROR(INDEX('案件'!$B$6:$B$105,MATCH(B1365,'案件'!$A$6:$A$105,0))&amp;"","（案件シートに無い番号）"))</f>
        <v/>
      </c>
      <c r="D1365" s="36" t="n"/>
      <c r="E1365" s="38" t="n"/>
      <c r="F1365" s="39" t="n"/>
      <c r="G1365" s="36" t="n"/>
      <c r="H1365" s="40" t="n"/>
      <c r="I1365" s="40" t="n"/>
      <c r="J1365" s="41">
        <f>IF(ISNUMBER(H1365),H1365,IF(AND(D1365="労務費",TRIM(E1365)&lt;&gt;""),IFERROR(INDEX('設定'!$G$12:$G$31,MATCH(TRIM(E1365),'設定'!$J$12:$J$31,0)),""),""))</f>
        <v/>
      </c>
      <c r="K1365" s="30">
        <f>IF(AND(ISNUMBER(F1365),ISNUMBER(J1365)),ROUND(F1365*J1365,0),IF(ISNUMBER(I1365),I1365,""))</f>
        <v/>
      </c>
      <c r="L1365" s="33" t="n"/>
      <c r="M1365" s="34">
        <f>IF(COUNTA(A1365:B1365,D1365:I1365,L1365)=0,"",IF(B1365="","案件番号がありません",IF(ISNA(MATCH(B1365,'案件'!$A$6:$A$105,0)),"案件シートに無い番号です",IF(NOT(OR(D1365="材料費",D1365="労務費",D1365="外注費",D1365="経費")),"費目を4つから選んでください",IF(K1365="",IF(AND(ISNUMBER(F1365),NOT(ISNUMBER(J1365))),IF(D1365="労務費","単価がありません（設定の作業者名と同じ書き方に）","単価がありません"),IF(AND(ISNUMBER(J1365),NOT(ISNUMBER(F1365))),"数量がありません","金額がありません")),IF(NOT(ISNUMBER(A1365)),"日付がありません（月別集計に入りません）",IF(AND(ISNUMBER(F1365),ISNUMBER(J1365),ISNUMBER(I1365)),"数量×単価を使いました（金額の欄は使っていません）","")))))))</f>
        <v/>
      </c>
      <c r="N1365" s="91">
        <f>IF(AND(B1365&lt;&gt;"",B1365='案件カード'!$C$3),COUNTIF($B$5:B1365,'案件カード'!$C$3),"")</f>
        <v/>
      </c>
      <c r="O1365" s="91">
        <f>IF(ISNUMBER(K1365),IF(B1365="",K1365,IF(AND(ISNUMBER(MATCH(B1365,'案件'!$A$6:$A$105,0)),OR(D1365="材料費",D1365="労務費",D1365="外注費",D1365="経費")),0,K1365)),0)</f>
        <v/>
      </c>
    </row>
    <row r="1366" ht="16" customHeight="1">
      <c r="A1366" s="35" t="n"/>
      <c r="B1366" s="36" t="n"/>
      <c r="C1366" s="37">
        <f>IF(B1366="","",IFERROR(INDEX('案件'!$B$6:$B$105,MATCH(B1366,'案件'!$A$6:$A$105,0))&amp;"","（案件シートに無い番号）"))</f>
        <v/>
      </c>
      <c r="D1366" s="36" t="n"/>
      <c r="E1366" s="38" t="n"/>
      <c r="F1366" s="39" t="n"/>
      <c r="G1366" s="36" t="n"/>
      <c r="H1366" s="40" t="n"/>
      <c r="I1366" s="40" t="n"/>
      <c r="J1366" s="41">
        <f>IF(ISNUMBER(H1366),H1366,IF(AND(D1366="労務費",TRIM(E1366)&lt;&gt;""),IFERROR(INDEX('設定'!$G$12:$G$31,MATCH(TRIM(E1366),'設定'!$J$12:$J$31,0)),""),""))</f>
        <v/>
      </c>
      <c r="K1366" s="30">
        <f>IF(AND(ISNUMBER(F1366),ISNUMBER(J1366)),ROUND(F1366*J1366,0),IF(ISNUMBER(I1366),I1366,""))</f>
        <v/>
      </c>
      <c r="L1366" s="33" t="n"/>
      <c r="M1366" s="34">
        <f>IF(COUNTA(A1366:B1366,D1366:I1366,L1366)=0,"",IF(B1366="","案件番号がありません",IF(ISNA(MATCH(B1366,'案件'!$A$6:$A$105,0)),"案件シートに無い番号です",IF(NOT(OR(D1366="材料費",D1366="労務費",D1366="外注費",D1366="経費")),"費目を4つから選んでください",IF(K1366="",IF(AND(ISNUMBER(F1366),NOT(ISNUMBER(J1366))),IF(D1366="労務費","単価がありません（設定の作業者名と同じ書き方に）","単価がありません"),IF(AND(ISNUMBER(J1366),NOT(ISNUMBER(F1366))),"数量がありません","金額がありません")),IF(NOT(ISNUMBER(A1366)),"日付がありません（月別集計に入りません）",IF(AND(ISNUMBER(F1366),ISNUMBER(J1366),ISNUMBER(I1366)),"数量×単価を使いました（金額の欄は使っていません）","")))))))</f>
        <v/>
      </c>
      <c r="N1366" s="91">
        <f>IF(AND(B1366&lt;&gt;"",B1366='案件カード'!$C$3),COUNTIF($B$5:B1366,'案件カード'!$C$3),"")</f>
        <v/>
      </c>
      <c r="O1366" s="91">
        <f>IF(ISNUMBER(K1366),IF(B1366="",K1366,IF(AND(ISNUMBER(MATCH(B1366,'案件'!$A$6:$A$105,0)),OR(D1366="材料費",D1366="労務費",D1366="外注費",D1366="経費")),0,K1366)),0)</f>
        <v/>
      </c>
    </row>
    <row r="1367" ht="16" customHeight="1">
      <c r="A1367" s="35" t="n"/>
      <c r="B1367" s="36" t="n"/>
      <c r="C1367" s="37">
        <f>IF(B1367="","",IFERROR(INDEX('案件'!$B$6:$B$105,MATCH(B1367,'案件'!$A$6:$A$105,0))&amp;"","（案件シートに無い番号）"))</f>
        <v/>
      </c>
      <c r="D1367" s="36" t="n"/>
      <c r="E1367" s="38" t="n"/>
      <c r="F1367" s="39" t="n"/>
      <c r="G1367" s="36" t="n"/>
      <c r="H1367" s="40" t="n"/>
      <c r="I1367" s="40" t="n"/>
      <c r="J1367" s="41">
        <f>IF(ISNUMBER(H1367),H1367,IF(AND(D1367="労務費",TRIM(E1367)&lt;&gt;""),IFERROR(INDEX('設定'!$G$12:$G$31,MATCH(TRIM(E1367),'設定'!$J$12:$J$31,0)),""),""))</f>
        <v/>
      </c>
      <c r="K1367" s="30">
        <f>IF(AND(ISNUMBER(F1367),ISNUMBER(J1367)),ROUND(F1367*J1367,0),IF(ISNUMBER(I1367),I1367,""))</f>
        <v/>
      </c>
      <c r="L1367" s="33" t="n"/>
      <c r="M1367" s="34">
        <f>IF(COUNTA(A1367:B1367,D1367:I1367,L1367)=0,"",IF(B1367="","案件番号がありません",IF(ISNA(MATCH(B1367,'案件'!$A$6:$A$105,0)),"案件シートに無い番号です",IF(NOT(OR(D1367="材料費",D1367="労務費",D1367="外注費",D1367="経費")),"費目を4つから選んでください",IF(K1367="",IF(AND(ISNUMBER(F1367),NOT(ISNUMBER(J1367))),IF(D1367="労務費","単価がありません（設定の作業者名と同じ書き方に）","単価がありません"),IF(AND(ISNUMBER(J1367),NOT(ISNUMBER(F1367))),"数量がありません","金額がありません")),IF(NOT(ISNUMBER(A1367)),"日付がありません（月別集計に入りません）",IF(AND(ISNUMBER(F1367),ISNUMBER(J1367),ISNUMBER(I1367)),"数量×単価を使いました（金額の欄は使っていません）","")))))))</f>
        <v/>
      </c>
      <c r="N1367" s="91">
        <f>IF(AND(B1367&lt;&gt;"",B1367='案件カード'!$C$3),COUNTIF($B$5:B1367,'案件カード'!$C$3),"")</f>
        <v/>
      </c>
      <c r="O1367" s="91">
        <f>IF(ISNUMBER(K1367),IF(B1367="",K1367,IF(AND(ISNUMBER(MATCH(B1367,'案件'!$A$6:$A$105,0)),OR(D1367="材料費",D1367="労務費",D1367="外注費",D1367="経費")),0,K1367)),0)</f>
        <v/>
      </c>
    </row>
    <row r="1368" ht="16" customHeight="1">
      <c r="A1368" s="35" t="n"/>
      <c r="B1368" s="36" t="n"/>
      <c r="C1368" s="37">
        <f>IF(B1368="","",IFERROR(INDEX('案件'!$B$6:$B$105,MATCH(B1368,'案件'!$A$6:$A$105,0))&amp;"","（案件シートに無い番号）"))</f>
        <v/>
      </c>
      <c r="D1368" s="36" t="n"/>
      <c r="E1368" s="38" t="n"/>
      <c r="F1368" s="39" t="n"/>
      <c r="G1368" s="36" t="n"/>
      <c r="H1368" s="40" t="n"/>
      <c r="I1368" s="40" t="n"/>
      <c r="J1368" s="41">
        <f>IF(ISNUMBER(H1368),H1368,IF(AND(D1368="労務費",TRIM(E1368)&lt;&gt;""),IFERROR(INDEX('設定'!$G$12:$G$31,MATCH(TRIM(E1368),'設定'!$J$12:$J$31,0)),""),""))</f>
        <v/>
      </c>
      <c r="K1368" s="30">
        <f>IF(AND(ISNUMBER(F1368),ISNUMBER(J1368)),ROUND(F1368*J1368,0),IF(ISNUMBER(I1368),I1368,""))</f>
        <v/>
      </c>
      <c r="L1368" s="33" t="n"/>
      <c r="M1368" s="34">
        <f>IF(COUNTA(A1368:B1368,D1368:I1368,L1368)=0,"",IF(B1368="","案件番号がありません",IF(ISNA(MATCH(B1368,'案件'!$A$6:$A$105,0)),"案件シートに無い番号です",IF(NOT(OR(D1368="材料費",D1368="労務費",D1368="外注費",D1368="経費")),"費目を4つから選んでください",IF(K1368="",IF(AND(ISNUMBER(F1368),NOT(ISNUMBER(J1368))),IF(D1368="労務費","単価がありません（設定の作業者名と同じ書き方に）","単価がありません"),IF(AND(ISNUMBER(J1368),NOT(ISNUMBER(F1368))),"数量がありません","金額がありません")),IF(NOT(ISNUMBER(A1368)),"日付がありません（月別集計に入りません）",IF(AND(ISNUMBER(F1368),ISNUMBER(J1368),ISNUMBER(I1368)),"数量×単価を使いました（金額の欄は使っていません）","")))))))</f>
        <v/>
      </c>
      <c r="N1368" s="91">
        <f>IF(AND(B1368&lt;&gt;"",B1368='案件カード'!$C$3),COUNTIF($B$5:B1368,'案件カード'!$C$3),"")</f>
        <v/>
      </c>
      <c r="O1368" s="91">
        <f>IF(ISNUMBER(K1368),IF(B1368="",K1368,IF(AND(ISNUMBER(MATCH(B1368,'案件'!$A$6:$A$105,0)),OR(D1368="材料費",D1368="労務費",D1368="外注費",D1368="経費")),0,K1368)),0)</f>
        <v/>
      </c>
    </row>
    <row r="1369" ht="16" customHeight="1">
      <c r="A1369" s="35" t="n"/>
      <c r="B1369" s="36" t="n"/>
      <c r="C1369" s="37">
        <f>IF(B1369="","",IFERROR(INDEX('案件'!$B$6:$B$105,MATCH(B1369,'案件'!$A$6:$A$105,0))&amp;"","（案件シートに無い番号）"))</f>
        <v/>
      </c>
      <c r="D1369" s="36" t="n"/>
      <c r="E1369" s="38" t="n"/>
      <c r="F1369" s="39" t="n"/>
      <c r="G1369" s="36" t="n"/>
      <c r="H1369" s="40" t="n"/>
      <c r="I1369" s="40" t="n"/>
      <c r="J1369" s="41">
        <f>IF(ISNUMBER(H1369),H1369,IF(AND(D1369="労務費",TRIM(E1369)&lt;&gt;""),IFERROR(INDEX('設定'!$G$12:$G$31,MATCH(TRIM(E1369),'設定'!$J$12:$J$31,0)),""),""))</f>
        <v/>
      </c>
      <c r="K1369" s="30">
        <f>IF(AND(ISNUMBER(F1369),ISNUMBER(J1369)),ROUND(F1369*J1369,0),IF(ISNUMBER(I1369),I1369,""))</f>
        <v/>
      </c>
      <c r="L1369" s="33" t="n"/>
      <c r="M1369" s="34">
        <f>IF(COUNTA(A1369:B1369,D1369:I1369,L1369)=0,"",IF(B1369="","案件番号がありません",IF(ISNA(MATCH(B1369,'案件'!$A$6:$A$105,0)),"案件シートに無い番号です",IF(NOT(OR(D1369="材料費",D1369="労務費",D1369="外注費",D1369="経費")),"費目を4つから選んでください",IF(K1369="",IF(AND(ISNUMBER(F1369),NOT(ISNUMBER(J1369))),IF(D1369="労務費","単価がありません（設定の作業者名と同じ書き方に）","単価がありません"),IF(AND(ISNUMBER(J1369),NOT(ISNUMBER(F1369))),"数量がありません","金額がありません")),IF(NOT(ISNUMBER(A1369)),"日付がありません（月別集計に入りません）",IF(AND(ISNUMBER(F1369),ISNUMBER(J1369),ISNUMBER(I1369)),"数量×単価を使いました（金額の欄は使っていません）","")))))))</f>
        <v/>
      </c>
      <c r="N1369" s="91">
        <f>IF(AND(B1369&lt;&gt;"",B1369='案件カード'!$C$3),COUNTIF($B$5:B1369,'案件カード'!$C$3),"")</f>
        <v/>
      </c>
      <c r="O1369" s="91">
        <f>IF(ISNUMBER(K1369),IF(B1369="",K1369,IF(AND(ISNUMBER(MATCH(B1369,'案件'!$A$6:$A$105,0)),OR(D1369="材料費",D1369="労務費",D1369="外注費",D1369="経費")),0,K1369)),0)</f>
        <v/>
      </c>
    </row>
    <row r="1370" ht="16" customHeight="1">
      <c r="A1370" s="35" t="n"/>
      <c r="B1370" s="36" t="n"/>
      <c r="C1370" s="37">
        <f>IF(B1370="","",IFERROR(INDEX('案件'!$B$6:$B$105,MATCH(B1370,'案件'!$A$6:$A$105,0))&amp;"","（案件シートに無い番号）"))</f>
        <v/>
      </c>
      <c r="D1370" s="36" t="n"/>
      <c r="E1370" s="38" t="n"/>
      <c r="F1370" s="39" t="n"/>
      <c r="G1370" s="36" t="n"/>
      <c r="H1370" s="40" t="n"/>
      <c r="I1370" s="40" t="n"/>
      <c r="J1370" s="41">
        <f>IF(ISNUMBER(H1370),H1370,IF(AND(D1370="労務費",TRIM(E1370)&lt;&gt;""),IFERROR(INDEX('設定'!$G$12:$G$31,MATCH(TRIM(E1370),'設定'!$J$12:$J$31,0)),""),""))</f>
        <v/>
      </c>
      <c r="K1370" s="30">
        <f>IF(AND(ISNUMBER(F1370),ISNUMBER(J1370)),ROUND(F1370*J1370,0),IF(ISNUMBER(I1370),I1370,""))</f>
        <v/>
      </c>
      <c r="L1370" s="33" t="n"/>
      <c r="M1370" s="34">
        <f>IF(COUNTA(A1370:B1370,D1370:I1370,L1370)=0,"",IF(B1370="","案件番号がありません",IF(ISNA(MATCH(B1370,'案件'!$A$6:$A$105,0)),"案件シートに無い番号です",IF(NOT(OR(D1370="材料費",D1370="労務費",D1370="外注費",D1370="経費")),"費目を4つから選んでください",IF(K1370="",IF(AND(ISNUMBER(F1370),NOT(ISNUMBER(J1370))),IF(D1370="労務費","単価がありません（設定の作業者名と同じ書き方に）","単価がありません"),IF(AND(ISNUMBER(J1370),NOT(ISNUMBER(F1370))),"数量がありません","金額がありません")),IF(NOT(ISNUMBER(A1370)),"日付がありません（月別集計に入りません）",IF(AND(ISNUMBER(F1370),ISNUMBER(J1370),ISNUMBER(I1370)),"数量×単価を使いました（金額の欄は使っていません）","")))))))</f>
        <v/>
      </c>
      <c r="N1370" s="91">
        <f>IF(AND(B1370&lt;&gt;"",B1370='案件カード'!$C$3),COUNTIF($B$5:B1370,'案件カード'!$C$3),"")</f>
        <v/>
      </c>
      <c r="O1370" s="91">
        <f>IF(ISNUMBER(K1370),IF(B1370="",K1370,IF(AND(ISNUMBER(MATCH(B1370,'案件'!$A$6:$A$105,0)),OR(D1370="材料費",D1370="労務費",D1370="外注費",D1370="経費")),0,K1370)),0)</f>
        <v/>
      </c>
    </row>
    <row r="1371" ht="16" customHeight="1">
      <c r="A1371" s="35" t="n"/>
      <c r="B1371" s="36" t="n"/>
      <c r="C1371" s="37">
        <f>IF(B1371="","",IFERROR(INDEX('案件'!$B$6:$B$105,MATCH(B1371,'案件'!$A$6:$A$105,0))&amp;"","（案件シートに無い番号）"))</f>
        <v/>
      </c>
      <c r="D1371" s="36" t="n"/>
      <c r="E1371" s="38" t="n"/>
      <c r="F1371" s="39" t="n"/>
      <c r="G1371" s="36" t="n"/>
      <c r="H1371" s="40" t="n"/>
      <c r="I1371" s="40" t="n"/>
      <c r="J1371" s="41">
        <f>IF(ISNUMBER(H1371),H1371,IF(AND(D1371="労務費",TRIM(E1371)&lt;&gt;""),IFERROR(INDEX('設定'!$G$12:$G$31,MATCH(TRIM(E1371),'設定'!$J$12:$J$31,0)),""),""))</f>
        <v/>
      </c>
      <c r="K1371" s="30">
        <f>IF(AND(ISNUMBER(F1371),ISNUMBER(J1371)),ROUND(F1371*J1371,0),IF(ISNUMBER(I1371),I1371,""))</f>
        <v/>
      </c>
      <c r="L1371" s="33" t="n"/>
      <c r="M1371" s="34">
        <f>IF(COUNTA(A1371:B1371,D1371:I1371,L1371)=0,"",IF(B1371="","案件番号がありません",IF(ISNA(MATCH(B1371,'案件'!$A$6:$A$105,0)),"案件シートに無い番号です",IF(NOT(OR(D1371="材料費",D1371="労務費",D1371="外注費",D1371="経費")),"費目を4つから選んでください",IF(K1371="",IF(AND(ISNUMBER(F1371),NOT(ISNUMBER(J1371))),IF(D1371="労務費","単価がありません（設定の作業者名と同じ書き方に）","単価がありません"),IF(AND(ISNUMBER(J1371),NOT(ISNUMBER(F1371))),"数量がありません","金額がありません")),IF(NOT(ISNUMBER(A1371)),"日付がありません（月別集計に入りません）",IF(AND(ISNUMBER(F1371),ISNUMBER(J1371),ISNUMBER(I1371)),"数量×単価を使いました（金額の欄は使っていません）","")))))))</f>
        <v/>
      </c>
      <c r="N1371" s="91">
        <f>IF(AND(B1371&lt;&gt;"",B1371='案件カード'!$C$3),COUNTIF($B$5:B1371,'案件カード'!$C$3),"")</f>
        <v/>
      </c>
      <c r="O1371" s="91">
        <f>IF(ISNUMBER(K1371),IF(B1371="",K1371,IF(AND(ISNUMBER(MATCH(B1371,'案件'!$A$6:$A$105,0)),OR(D1371="材料費",D1371="労務費",D1371="外注費",D1371="経費")),0,K1371)),0)</f>
        <v/>
      </c>
    </row>
    <row r="1372" ht="16" customHeight="1">
      <c r="A1372" s="35" t="n"/>
      <c r="B1372" s="36" t="n"/>
      <c r="C1372" s="37">
        <f>IF(B1372="","",IFERROR(INDEX('案件'!$B$6:$B$105,MATCH(B1372,'案件'!$A$6:$A$105,0))&amp;"","（案件シートに無い番号）"))</f>
        <v/>
      </c>
      <c r="D1372" s="36" t="n"/>
      <c r="E1372" s="38" t="n"/>
      <c r="F1372" s="39" t="n"/>
      <c r="G1372" s="36" t="n"/>
      <c r="H1372" s="40" t="n"/>
      <c r="I1372" s="40" t="n"/>
      <c r="J1372" s="41">
        <f>IF(ISNUMBER(H1372),H1372,IF(AND(D1372="労務費",TRIM(E1372)&lt;&gt;""),IFERROR(INDEX('設定'!$G$12:$G$31,MATCH(TRIM(E1372),'設定'!$J$12:$J$31,0)),""),""))</f>
        <v/>
      </c>
      <c r="K1372" s="30">
        <f>IF(AND(ISNUMBER(F1372),ISNUMBER(J1372)),ROUND(F1372*J1372,0),IF(ISNUMBER(I1372),I1372,""))</f>
        <v/>
      </c>
      <c r="L1372" s="33" t="n"/>
      <c r="M1372" s="34">
        <f>IF(COUNTA(A1372:B1372,D1372:I1372,L1372)=0,"",IF(B1372="","案件番号がありません",IF(ISNA(MATCH(B1372,'案件'!$A$6:$A$105,0)),"案件シートに無い番号です",IF(NOT(OR(D1372="材料費",D1372="労務費",D1372="外注費",D1372="経費")),"費目を4つから選んでください",IF(K1372="",IF(AND(ISNUMBER(F1372),NOT(ISNUMBER(J1372))),IF(D1372="労務費","単価がありません（設定の作業者名と同じ書き方に）","単価がありません"),IF(AND(ISNUMBER(J1372),NOT(ISNUMBER(F1372))),"数量がありません","金額がありません")),IF(NOT(ISNUMBER(A1372)),"日付がありません（月別集計に入りません）",IF(AND(ISNUMBER(F1372),ISNUMBER(J1372),ISNUMBER(I1372)),"数量×単価を使いました（金額の欄は使っていません）","")))))))</f>
        <v/>
      </c>
      <c r="N1372" s="91">
        <f>IF(AND(B1372&lt;&gt;"",B1372='案件カード'!$C$3),COUNTIF($B$5:B1372,'案件カード'!$C$3),"")</f>
        <v/>
      </c>
      <c r="O1372" s="91">
        <f>IF(ISNUMBER(K1372),IF(B1372="",K1372,IF(AND(ISNUMBER(MATCH(B1372,'案件'!$A$6:$A$105,0)),OR(D1372="材料費",D1372="労務費",D1372="外注費",D1372="経費")),0,K1372)),0)</f>
        <v/>
      </c>
    </row>
    <row r="1373" ht="16" customHeight="1">
      <c r="A1373" s="35" t="n"/>
      <c r="B1373" s="36" t="n"/>
      <c r="C1373" s="37">
        <f>IF(B1373="","",IFERROR(INDEX('案件'!$B$6:$B$105,MATCH(B1373,'案件'!$A$6:$A$105,0))&amp;"","（案件シートに無い番号）"))</f>
        <v/>
      </c>
      <c r="D1373" s="36" t="n"/>
      <c r="E1373" s="38" t="n"/>
      <c r="F1373" s="39" t="n"/>
      <c r="G1373" s="36" t="n"/>
      <c r="H1373" s="40" t="n"/>
      <c r="I1373" s="40" t="n"/>
      <c r="J1373" s="41">
        <f>IF(ISNUMBER(H1373),H1373,IF(AND(D1373="労務費",TRIM(E1373)&lt;&gt;""),IFERROR(INDEX('設定'!$G$12:$G$31,MATCH(TRIM(E1373),'設定'!$J$12:$J$31,0)),""),""))</f>
        <v/>
      </c>
      <c r="K1373" s="30">
        <f>IF(AND(ISNUMBER(F1373),ISNUMBER(J1373)),ROUND(F1373*J1373,0),IF(ISNUMBER(I1373),I1373,""))</f>
        <v/>
      </c>
      <c r="L1373" s="33" t="n"/>
      <c r="M1373" s="34">
        <f>IF(COUNTA(A1373:B1373,D1373:I1373,L1373)=0,"",IF(B1373="","案件番号がありません",IF(ISNA(MATCH(B1373,'案件'!$A$6:$A$105,0)),"案件シートに無い番号です",IF(NOT(OR(D1373="材料費",D1373="労務費",D1373="外注費",D1373="経費")),"費目を4つから選んでください",IF(K1373="",IF(AND(ISNUMBER(F1373),NOT(ISNUMBER(J1373))),IF(D1373="労務費","単価がありません（設定の作業者名と同じ書き方に）","単価がありません"),IF(AND(ISNUMBER(J1373),NOT(ISNUMBER(F1373))),"数量がありません","金額がありません")),IF(NOT(ISNUMBER(A1373)),"日付がありません（月別集計に入りません）",IF(AND(ISNUMBER(F1373),ISNUMBER(J1373),ISNUMBER(I1373)),"数量×単価を使いました（金額の欄は使っていません）","")))))))</f>
        <v/>
      </c>
      <c r="N1373" s="91">
        <f>IF(AND(B1373&lt;&gt;"",B1373='案件カード'!$C$3),COUNTIF($B$5:B1373,'案件カード'!$C$3),"")</f>
        <v/>
      </c>
      <c r="O1373" s="91">
        <f>IF(ISNUMBER(K1373),IF(B1373="",K1373,IF(AND(ISNUMBER(MATCH(B1373,'案件'!$A$6:$A$105,0)),OR(D1373="材料費",D1373="労務費",D1373="外注費",D1373="経費")),0,K1373)),0)</f>
        <v/>
      </c>
    </row>
    <row r="1374" ht="16" customHeight="1">
      <c r="A1374" s="35" t="n"/>
      <c r="B1374" s="36" t="n"/>
      <c r="C1374" s="37">
        <f>IF(B1374="","",IFERROR(INDEX('案件'!$B$6:$B$105,MATCH(B1374,'案件'!$A$6:$A$105,0))&amp;"","（案件シートに無い番号）"))</f>
        <v/>
      </c>
      <c r="D1374" s="36" t="n"/>
      <c r="E1374" s="38" t="n"/>
      <c r="F1374" s="39" t="n"/>
      <c r="G1374" s="36" t="n"/>
      <c r="H1374" s="40" t="n"/>
      <c r="I1374" s="40" t="n"/>
      <c r="J1374" s="41">
        <f>IF(ISNUMBER(H1374),H1374,IF(AND(D1374="労務費",TRIM(E1374)&lt;&gt;""),IFERROR(INDEX('設定'!$G$12:$G$31,MATCH(TRIM(E1374),'設定'!$J$12:$J$31,0)),""),""))</f>
        <v/>
      </c>
      <c r="K1374" s="30">
        <f>IF(AND(ISNUMBER(F1374),ISNUMBER(J1374)),ROUND(F1374*J1374,0),IF(ISNUMBER(I1374),I1374,""))</f>
        <v/>
      </c>
      <c r="L1374" s="33" t="n"/>
      <c r="M1374" s="34">
        <f>IF(COUNTA(A1374:B1374,D1374:I1374,L1374)=0,"",IF(B1374="","案件番号がありません",IF(ISNA(MATCH(B1374,'案件'!$A$6:$A$105,0)),"案件シートに無い番号です",IF(NOT(OR(D1374="材料費",D1374="労務費",D1374="外注費",D1374="経費")),"費目を4つから選んでください",IF(K1374="",IF(AND(ISNUMBER(F1374),NOT(ISNUMBER(J1374))),IF(D1374="労務費","単価がありません（設定の作業者名と同じ書き方に）","単価がありません"),IF(AND(ISNUMBER(J1374),NOT(ISNUMBER(F1374))),"数量がありません","金額がありません")),IF(NOT(ISNUMBER(A1374)),"日付がありません（月別集計に入りません）",IF(AND(ISNUMBER(F1374),ISNUMBER(J1374),ISNUMBER(I1374)),"数量×単価を使いました（金額の欄は使っていません）","")))))))</f>
        <v/>
      </c>
      <c r="N1374" s="91">
        <f>IF(AND(B1374&lt;&gt;"",B1374='案件カード'!$C$3),COUNTIF($B$5:B1374,'案件カード'!$C$3),"")</f>
        <v/>
      </c>
      <c r="O1374" s="91">
        <f>IF(ISNUMBER(K1374),IF(B1374="",K1374,IF(AND(ISNUMBER(MATCH(B1374,'案件'!$A$6:$A$105,0)),OR(D1374="材料費",D1374="労務費",D1374="外注費",D1374="経費")),0,K1374)),0)</f>
        <v/>
      </c>
    </row>
    <row r="1375" ht="16" customHeight="1">
      <c r="A1375" s="35" t="n"/>
      <c r="B1375" s="36" t="n"/>
      <c r="C1375" s="37">
        <f>IF(B1375="","",IFERROR(INDEX('案件'!$B$6:$B$105,MATCH(B1375,'案件'!$A$6:$A$105,0))&amp;"","（案件シートに無い番号）"))</f>
        <v/>
      </c>
      <c r="D1375" s="36" t="n"/>
      <c r="E1375" s="38" t="n"/>
      <c r="F1375" s="39" t="n"/>
      <c r="G1375" s="36" t="n"/>
      <c r="H1375" s="40" t="n"/>
      <c r="I1375" s="40" t="n"/>
      <c r="J1375" s="41">
        <f>IF(ISNUMBER(H1375),H1375,IF(AND(D1375="労務費",TRIM(E1375)&lt;&gt;""),IFERROR(INDEX('設定'!$G$12:$G$31,MATCH(TRIM(E1375),'設定'!$J$12:$J$31,0)),""),""))</f>
        <v/>
      </c>
      <c r="K1375" s="30">
        <f>IF(AND(ISNUMBER(F1375),ISNUMBER(J1375)),ROUND(F1375*J1375,0),IF(ISNUMBER(I1375),I1375,""))</f>
        <v/>
      </c>
      <c r="L1375" s="33" t="n"/>
      <c r="M1375" s="34">
        <f>IF(COUNTA(A1375:B1375,D1375:I1375,L1375)=0,"",IF(B1375="","案件番号がありません",IF(ISNA(MATCH(B1375,'案件'!$A$6:$A$105,0)),"案件シートに無い番号です",IF(NOT(OR(D1375="材料費",D1375="労務費",D1375="外注費",D1375="経費")),"費目を4つから選んでください",IF(K1375="",IF(AND(ISNUMBER(F1375),NOT(ISNUMBER(J1375))),IF(D1375="労務費","単価がありません（設定の作業者名と同じ書き方に）","単価がありません"),IF(AND(ISNUMBER(J1375),NOT(ISNUMBER(F1375))),"数量がありません","金額がありません")),IF(NOT(ISNUMBER(A1375)),"日付がありません（月別集計に入りません）",IF(AND(ISNUMBER(F1375),ISNUMBER(J1375),ISNUMBER(I1375)),"数量×単価を使いました（金額の欄は使っていません）","")))))))</f>
        <v/>
      </c>
      <c r="N1375" s="91">
        <f>IF(AND(B1375&lt;&gt;"",B1375='案件カード'!$C$3),COUNTIF($B$5:B1375,'案件カード'!$C$3),"")</f>
        <v/>
      </c>
      <c r="O1375" s="91">
        <f>IF(ISNUMBER(K1375),IF(B1375="",K1375,IF(AND(ISNUMBER(MATCH(B1375,'案件'!$A$6:$A$105,0)),OR(D1375="材料費",D1375="労務費",D1375="外注費",D1375="経費")),0,K1375)),0)</f>
        <v/>
      </c>
    </row>
    <row r="1376" ht="16" customHeight="1">
      <c r="A1376" s="35" t="n"/>
      <c r="B1376" s="36" t="n"/>
      <c r="C1376" s="37">
        <f>IF(B1376="","",IFERROR(INDEX('案件'!$B$6:$B$105,MATCH(B1376,'案件'!$A$6:$A$105,0))&amp;"","（案件シートに無い番号）"))</f>
        <v/>
      </c>
      <c r="D1376" s="36" t="n"/>
      <c r="E1376" s="38" t="n"/>
      <c r="F1376" s="39" t="n"/>
      <c r="G1376" s="36" t="n"/>
      <c r="H1376" s="40" t="n"/>
      <c r="I1376" s="40" t="n"/>
      <c r="J1376" s="41">
        <f>IF(ISNUMBER(H1376),H1376,IF(AND(D1376="労務費",TRIM(E1376)&lt;&gt;""),IFERROR(INDEX('設定'!$G$12:$G$31,MATCH(TRIM(E1376),'設定'!$J$12:$J$31,0)),""),""))</f>
        <v/>
      </c>
      <c r="K1376" s="30">
        <f>IF(AND(ISNUMBER(F1376),ISNUMBER(J1376)),ROUND(F1376*J1376,0),IF(ISNUMBER(I1376),I1376,""))</f>
        <v/>
      </c>
      <c r="L1376" s="33" t="n"/>
      <c r="M1376" s="34">
        <f>IF(COUNTA(A1376:B1376,D1376:I1376,L1376)=0,"",IF(B1376="","案件番号がありません",IF(ISNA(MATCH(B1376,'案件'!$A$6:$A$105,0)),"案件シートに無い番号です",IF(NOT(OR(D1376="材料費",D1376="労務費",D1376="外注費",D1376="経費")),"費目を4つから選んでください",IF(K1376="",IF(AND(ISNUMBER(F1376),NOT(ISNUMBER(J1376))),IF(D1376="労務費","単価がありません（設定の作業者名と同じ書き方に）","単価がありません"),IF(AND(ISNUMBER(J1376),NOT(ISNUMBER(F1376))),"数量がありません","金額がありません")),IF(NOT(ISNUMBER(A1376)),"日付がありません（月別集計に入りません）",IF(AND(ISNUMBER(F1376),ISNUMBER(J1376),ISNUMBER(I1376)),"数量×単価を使いました（金額の欄は使っていません）","")))))))</f>
        <v/>
      </c>
      <c r="N1376" s="91">
        <f>IF(AND(B1376&lt;&gt;"",B1376='案件カード'!$C$3),COUNTIF($B$5:B1376,'案件カード'!$C$3),"")</f>
        <v/>
      </c>
      <c r="O1376" s="91">
        <f>IF(ISNUMBER(K1376),IF(B1376="",K1376,IF(AND(ISNUMBER(MATCH(B1376,'案件'!$A$6:$A$105,0)),OR(D1376="材料費",D1376="労務費",D1376="外注費",D1376="経費")),0,K1376)),0)</f>
        <v/>
      </c>
    </row>
    <row r="1377" ht="16" customHeight="1">
      <c r="A1377" s="35" t="n"/>
      <c r="B1377" s="36" t="n"/>
      <c r="C1377" s="37">
        <f>IF(B1377="","",IFERROR(INDEX('案件'!$B$6:$B$105,MATCH(B1377,'案件'!$A$6:$A$105,0))&amp;"","（案件シートに無い番号）"))</f>
        <v/>
      </c>
      <c r="D1377" s="36" t="n"/>
      <c r="E1377" s="38" t="n"/>
      <c r="F1377" s="39" t="n"/>
      <c r="G1377" s="36" t="n"/>
      <c r="H1377" s="40" t="n"/>
      <c r="I1377" s="40" t="n"/>
      <c r="J1377" s="41">
        <f>IF(ISNUMBER(H1377),H1377,IF(AND(D1377="労務費",TRIM(E1377)&lt;&gt;""),IFERROR(INDEX('設定'!$G$12:$G$31,MATCH(TRIM(E1377),'設定'!$J$12:$J$31,0)),""),""))</f>
        <v/>
      </c>
      <c r="K1377" s="30">
        <f>IF(AND(ISNUMBER(F1377),ISNUMBER(J1377)),ROUND(F1377*J1377,0),IF(ISNUMBER(I1377),I1377,""))</f>
        <v/>
      </c>
      <c r="L1377" s="33" t="n"/>
      <c r="M1377" s="34">
        <f>IF(COUNTA(A1377:B1377,D1377:I1377,L1377)=0,"",IF(B1377="","案件番号がありません",IF(ISNA(MATCH(B1377,'案件'!$A$6:$A$105,0)),"案件シートに無い番号です",IF(NOT(OR(D1377="材料費",D1377="労務費",D1377="外注費",D1377="経費")),"費目を4つから選んでください",IF(K1377="",IF(AND(ISNUMBER(F1377),NOT(ISNUMBER(J1377))),IF(D1377="労務費","単価がありません（設定の作業者名と同じ書き方に）","単価がありません"),IF(AND(ISNUMBER(J1377),NOT(ISNUMBER(F1377))),"数量がありません","金額がありません")),IF(NOT(ISNUMBER(A1377)),"日付がありません（月別集計に入りません）",IF(AND(ISNUMBER(F1377),ISNUMBER(J1377),ISNUMBER(I1377)),"数量×単価を使いました（金額の欄は使っていません）","")))))))</f>
        <v/>
      </c>
      <c r="N1377" s="91">
        <f>IF(AND(B1377&lt;&gt;"",B1377='案件カード'!$C$3),COUNTIF($B$5:B1377,'案件カード'!$C$3),"")</f>
        <v/>
      </c>
      <c r="O1377" s="91">
        <f>IF(ISNUMBER(K1377),IF(B1377="",K1377,IF(AND(ISNUMBER(MATCH(B1377,'案件'!$A$6:$A$105,0)),OR(D1377="材料費",D1377="労務費",D1377="外注費",D1377="経費")),0,K1377)),0)</f>
        <v/>
      </c>
    </row>
    <row r="1378" ht="16" customHeight="1">
      <c r="A1378" s="35" t="n"/>
      <c r="B1378" s="36" t="n"/>
      <c r="C1378" s="37">
        <f>IF(B1378="","",IFERROR(INDEX('案件'!$B$6:$B$105,MATCH(B1378,'案件'!$A$6:$A$105,0))&amp;"","（案件シートに無い番号）"))</f>
        <v/>
      </c>
      <c r="D1378" s="36" t="n"/>
      <c r="E1378" s="38" t="n"/>
      <c r="F1378" s="39" t="n"/>
      <c r="G1378" s="36" t="n"/>
      <c r="H1378" s="40" t="n"/>
      <c r="I1378" s="40" t="n"/>
      <c r="J1378" s="41">
        <f>IF(ISNUMBER(H1378),H1378,IF(AND(D1378="労務費",TRIM(E1378)&lt;&gt;""),IFERROR(INDEX('設定'!$G$12:$G$31,MATCH(TRIM(E1378),'設定'!$J$12:$J$31,0)),""),""))</f>
        <v/>
      </c>
      <c r="K1378" s="30">
        <f>IF(AND(ISNUMBER(F1378),ISNUMBER(J1378)),ROUND(F1378*J1378,0),IF(ISNUMBER(I1378),I1378,""))</f>
        <v/>
      </c>
      <c r="L1378" s="33" t="n"/>
      <c r="M1378" s="34">
        <f>IF(COUNTA(A1378:B1378,D1378:I1378,L1378)=0,"",IF(B1378="","案件番号がありません",IF(ISNA(MATCH(B1378,'案件'!$A$6:$A$105,0)),"案件シートに無い番号です",IF(NOT(OR(D1378="材料費",D1378="労務費",D1378="外注費",D1378="経費")),"費目を4つから選んでください",IF(K1378="",IF(AND(ISNUMBER(F1378),NOT(ISNUMBER(J1378))),IF(D1378="労務費","単価がありません（設定の作業者名と同じ書き方に）","単価がありません"),IF(AND(ISNUMBER(J1378),NOT(ISNUMBER(F1378))),"数量がありません","金額がありません")),IF(NOT(ISNUMBER(A1378)),"日付がありません（月別集計に入りません）",IF(AND(ISNUMBER(F1378),ISNUMBER(J1378),ISNUMBER(I1378)),"数量×単価を使いました（金額の欄は使っていません）","")))))))</f>
        <v/>
      </c>
      <c r="N1378" s="91">
        <f>IF(AND(B1378&lt;&gt;"",B1378='案件カード'!$C$3),COUNTIF($B$5:B1378,'案件カード'!$C$3),"")</f>
        <v/>
      </c>
      <c r="O1378" s="91">
        <f>IF(ISNUMBER(K1378),IF(B1378="",K1378,IF(AND(ISNUMBER(MATCH(B1378,'案件'!$A$6:$A$105,0)),OR(D1378="材料費",D1378="労務費",D1378="外注費",D1378="経費")),0,K1378)),0)</f>
        <v/>
      </c>
    </row>
    <row r="1379" ht="16" customHeight="1">
      <c r="A1379" s="35" t="n"/>
      <c r="B1379" s="36" t="n"/>
      <c r="C1379" s="37">
        <f>IF(B1379="","",IFERROR(INDEX('案件'!$B$6:$B$105,MATCH(B1379,'案件'!$A$6:$A$105,0))&amp;"","（案件シートに無い番号）"))</f>
        <v/>
      </c>
      <c r="D1379" s="36" t="n"/>
      <c r="E1379" s="38" t="n"/>
      <c r="F1379" s="39" t="n"/>
      <c r="G1379" s="36" t="n"/>
      <c r="H1379" s="40" t="n"/>
      <c r="I1379" s="40" t="n"/>
      <c r="J1379" s="41">
        <f>IF(ISNUMBER(H1379),H1379,IF(AND(D1379="労務費",TRIM(E1379)&lt;&gt;""),IFERROR(INDEX('設定'!$G$12:$G$31,MATCH(TRIM(E1379),'設定'!$J$12:$J$31,0)),""),""))</f>
        <v/>
      </c>
      <c r="K1379" s="30">
        <f>IF(AND(ISNUMBER(F1379),ISNUMBER(J1379)),ROUND(F1379*J1379,0),IF(ISNUMBER(I1379),I1379,""))</f>
        <v/>
      </c>
      <c r="L1379" s="33" t="n"/>
      <c r="M1379" s="34">
        <f>IF(COUNTA(A1379:B1379,D1379:I1379,L1379)=0,"",IF(B1379="","案件番号がありません",IF(ISNA(MATCH(B1379,'案件'!$A$6:$A$105,0)),"案件シートに無い番号です",IF(NOT(OR(D1379="材料費",D1379="労務費",D1379="外注費",D1379="経費")),"費目を4つから選んでください",IF(K1379="",IF(AND(ISNUMBER(F1379),NOT(ISNUMBER(J1379))),IF(D1379="労務費","単価がありません（設定の作業者名と同じ書き方に）","単価がありません"),IF(AND(ISNUMBER(J1379),NOT(ISNUMBER(F1379))),"数量がありません","金額がありません")),IF(NOT(ISNUMBER(A1379)),"日付がありません（月別集計に入りません）",IF(AND(ISNUMBER(F1379),ISNUMBER(J1379),ISNUMBER(I1379)),"数量×単価を使いました（金額の欄は使っていません）","")))))))</f>
        <v/>
      </c>
      <c r="N1379" s="91">
        <f>IF(AND(B1379&lt;&gt;"",B1379='案件カード'!$C$3),COUNTIF($B$5:B1379,'案件カード'!$C$3),"")</f>
        <v/>
      </c>
      <c r="O1379" s="91">
        <f>IF(ISNUMBER(K1379),IF(B1379="",K1379,IF(AND(ISNUMBER(MATCH(B1379,'案件'!$A$6:$A$105,0)),OR(D1379="材料費",D1379="労務費",D1379="外注費",D1379="経費")),0,K1379)),0)</f>
        <v/>
      </c>
    </row>
    <row r="1380" ht="16" customHeight="1">
      <c r="A1380" s="35" t="n"/>
      <c r="B1380" s="36" t="n"/>
      <c r="C1380" s="37">
        <f>IF(B1380="","",IFERROR(INDEX('案件'!$B$6:$B$105,MATCH(B1380,'案件'!$A$6:$A$105,0))&amp;"","（案件シートに無い番号）"))</f>
        <v/>
      </c>
      <c r="D1380" s="36" t="n"/>
      <c r="E1380" s="38" t="n"/>
      <c r="F1380" s="39" t="n"/>
      <c r="G1380" s="36" t="n"/>
      <c r="H1380" s="40" t="n"/>
      <c r="I1380" s="40" t="n"/>
      <c r="J1380" s="41">
        <f>IF(ISNUMBER(H1380),H1380,IF(AND(D1380="労務費",TRIM(E1380)&lt;&gt;""),IFERROR(INDEX('設定'!$G$12:$G$31,MATCH(TRIM(E1380),'設定'!$J$12:$J$31,0)),""),""))</f>
        <v/>
      </c>
      <c r="K1380" s="30">
        <f>IF(AND(ISNUMBER(F1380),ISNUMBER(J1380)),ROUND(F1380*J1380,0),IF(ISNUMBER(I1380),I1380,""))</f>
        <v/>
      </c>
      <c r="L1380" s="33" t="n"/>
      <c r="M1380" s="34">
        <f>IF(COUNTA(A1380:B1380,D1380:I1380,L1380)=0,"",IF(B1380="","案件番号がありません",IF(ISNA(MATCH(B1380,'案件'!$A$6:$A$105,0)),"案件シートに無い番号です",IF(NOT(OR(D1380="材料費",D1380="労務費",D1380="外注費",D1380="経費")),"費目を4つから選んでください",IF(K1380="",IF(AND(ISNUMBER(F1380),NOT(ISNUMBER(J1380))),IF(D1380="労務費","単価がありません（設定の作業者名と同じ書き方に）","単価がありません"),IF(AND(ISNUMBER(J1380),NOT(ISNUMBER(F1380))),"数量がありません","金額がありません")),IF(NOT(ISNUMBER(A1380)),"日付がありません（月別集計に入りません）",IF(AND(ISNUMBER(F1380),ISNUMBER(J1380),ISNUMBER(I1380)),"数量×単価を使いました（金額の欄は使っていません）","")))))))</f>
        <v/>
      </c>
      <c r="N1380" s="91">
        <f>IF(AND(B1380&lt;&gt;"",B1380='案件カード'!$C$3),COUNTIF($B$5:B1380,'案件カード'!$C$3),"")</f>
        <v/>
      </c>
      <c r="O1380" s="91">
        <f>IF(ISNUMBER(K1380),IF(B1380="",K1380,IF(AND(ISNUMBER(MATCH(B1380,'案件'!$A$6:$A$105,0)),OR(D1380="材料費",D1380="労務費",D1380="外注費",D1380="経費")),0,K1380)),0)</f>
        <v/>
      </c>
    </row>
    <row r="1381" ht="16" customHeight="1">
      <c r="A1381" s="35" t="n"/>
      <c r="B1381" s="36" t="n"/>
      <c r="C1381" s="37">
        <f>IF(B1381="","",IFERROR(INDEX('案件'!$B$6:$B$105,MATCH(B1381,'案件'!$A$6:$A$105,0))&amp;"","（案件シートに無い番号）"))</f>
        <v/>
      </c>
      <c r="D1381" s="36" t="n"/>
      <c r="E1381" s="38" t="n"/>
      <c r="F1381" s="39" t="n"/>
      <c r="G1381" s="36" t="n"/>
      <c r="H1381" s="40" t="n"/>
      <c r="I1381" s="40" t="n"/>
      <c r="J1381" s="41">
        <f>IF(ISNUMBER(H1381),H1381,IF(AND(D1381="労務費",TRIM(E1381)&lt;&gt;""),IFERROR(INDEX('設定'!$G$12:$G$31,MATCH(TRIM(E1381),'設定'!$J$12:$J$31,0)),""),""))</f>
        <v/>
      </c>
      <c r="K1381" s="30">
        <f>IF(AND(ISNUMBER(F1381),ISNUMBER(J1381)),ROUND(F1381*J1381,0),IF(ISNUMBER(I1381),I1381,""))</f>
        <v/>
      </c>
      <c r="L1381" s="33" t="n"/>
      <c r="M1381" s="34">
        <f>IF(COUNTA(A1381:B1381,D1381:I1381,L1381)=0,"",IF(B1381="","案件番号がありません",IF(ISNA(MATCH(B1381,'案件'!$A$6:$A$105,0)),"案件シートに無い番号です",IF(NOT(OR(D1381="材料費",D1381="労務費",D1381="外注費",D1381="経費")),"費目を4つから選んでください",IF(K1381="",IF(AND(ISNUMBER(F1381),NOT(ISNUMBER(J1381))),IF(D1381="労務費","単価がありません（設定の作業者名と同じ書き方に）","単価がありません"),IF(AND(ISNUMBER(J1381),NOT(ISNUMBER(F1381))),"数量がありません","金額がありません")),IF(NOT(ISNUMBER(A1381)),"日付がありません（月別集計に入りません）",IF(AND(ISNUMBER(F1381),ISNUMBER(J1381),ISNUMBER(I1381)),"数量×単価を使いました（金額の欄は使っていません）","")))))))</f>
        <v/>
      </c>
      <c r="N1381" s="91">
        <f>IF(AND(B1381&lt;&gt;"",B1381='案件カード'!$C$3),COUNTIF($B$5:B1381,'案件カード'!$C$3),"")</f>
        <v/>
      </c>
      <c r="O1381" s="91">
        <f>IF(ISNUMBER(K1381),IF(B1381="",K1381,IF(AND(ISNUMBER(MATCH(B1381,'案件'!$A$6:$A$105,0)),OR(D1381="材料費",D1381="労務費",D1381="外注費",D1381="経費")),0,K1381)),0)</f>
        <v/>
      </c>
    </row>
    <row r="1382" ht="16" customHeight="1">
      <c r="A1382" s="35" t="n"/>
      <c r="B1382" s="36" t="n"/>
      <c r="C1382" s="37">
        <f>IF(B1382="","",IFERROR(INDEX('案件'!$B$6:$B$105,MATCH(B1382,'案件'!$A$6:$A$105,0))&amp;"","（案件シートに無い番号）"))</f>
        <v/>
      </c>
      <c r="D1382" s="36" t="n"/>
      <c r="E1382" s="38" t="n"/>
      <c r="F1382" s="39" t="n"/>
      <c r="G1382" s="36" t="n"/>
      <c r="H1382" s="40" t="n"/>
      <c r="I1382" s="40" t="n"/>
      <c r="J1382" s="41">
        <f>IF(ISNUMBER(H1382),H1382,IF(AND(D1382="労務費",TRIM(E1382)&lt;&gt;""),IFERROR(INDEX('設定'!$G$12:$G$31,MATCH(TRIM(E1382),'設定'!$J$12:$J$31,0)),""),""))</f>
        <v/>
      </c>
      <c r="K1382" s="30">
        <f>IF(AND(ISNUMBER(F1382),ISNUMBER(J1382)),ROUND(F1382*J1382,0),IF(ISNUMBER(I1382),I1382,""))</f>
        <v/>
      </c>
      <c r="L1382" s="33" t="n"/>
      <c r="M1382" s="34">
        <f>IF(COUNTA(A1382:B1382,D1382:I1382,L1382)=0,"",IF(B1382="","案件番号がありません",IF(ISNA(MATCH(B1382,'案件'!$A$6:$A$105,0)),"案件シートに無い番号です",IF(NOT(OR(D1382="材料費",D1382="労務費",D1382="外注費",D1382="経費")),"費目を4つから選んでください",IF(K1382="",IF(AND(ISNUMBER(F1382),NOT(ISNUMBER(J1382))),IF(D1382="労務費","単価がありません（設定の作業者名と同じ書き方に）","単価がありません"),IF(AND(ISNUMBER(J1382),NOT(ISNUMBER(F1382))),"数量がありません","金額がありません")),IF(NOT(ISNUMBER(A1382)),"日付がありません（月別集計に入りません）",IF(AND(ISNUMBER(F1382),ISNUMBER(J1382),ISNUMBER(I1382)),"数量×単価を使いました（金額の欄は使っていません）","")))))))</f>
        <v/>
      </c>
      <c r="N1382" s="91">
        <f>IF(AND(B1382&lt;&gt;"",B1382='案件カード'!$C$3),COUNTIF($B$5:B1382,'案件カード'!$C$3),"")</f>
        <v/>
      </c>
      <c r="O1382" s="91">
        <f>IF(ISNUMBER(K1382),IF(B1382="",K1382,IF(AND(ISNUMBER(MATCH(B1382,'案件'!$A$6:$A$105,0)),OR(D1382="材料費",D1382="労務費",D1382="外注費",D1382="経費")),0,K1382)),0)</f>
        <v/>
      </c>
    </row>
    <row r="1383" ht="16" customHeight="1">
      <c r="A1383" s="35" t="n"/>
      <c r="B1383" s="36" t="n"/>
      <c r="C1383" s="37">
        <f>IF(B1383="","",IFERROR(INDEX('案件'!$B$6:$B$105,MATCH(B1383,'案件'!$A$6:$A$105,0))&amp;"","（案件シートに無い番号）"))</f>
        <v/>
      </c>
      <c r="D1383" s="36" t="n"/>
      <c r="E1383" s="38" t="n"/>
      <c r="F1383" s="39" t="n"/>
      <c r="G1383" s="36" t="n"/>
      <c r="H1383" s="40" t="n"/>
      <c r="I1383" s="40" t="n"/>
      <c r="J1383" s="41">
        <f>IF(ISNUMBER(H1383),H1383,IF(AND(D1383="労務費",TRIM(E1383)&lt;&gt;""),IFERROR(INDEX('設定'!$G$12:$G$31,MATCH(TRIM(E1383),'設定'!$J$12:$J$31,0)),""),""))</f>
        <v/>
      </c>
      <c r="K1383" s="30">
        <f>IF(AND(ISNUMBER(F1383),ISNUMBER(J1383)),ROUND(F1383*J1383,0),IF(ISNUMBER(I1383),I1383,""))</f>
        <v/>
      </c>
      <c r="L1383" s="33" t="n"/>
      <c r="M1383" s="34">
        <f>IF(COUNTA(A1383:B1383,D1383:I1383,L1383)=0,"",IF(B1383="","案件番号がありません",IF(ISNA(MATCH(B1383,'案件'!$A$6:$A$105,0)),"案件シートに無い番号です",IF(NOT(OR(D1383="材料費",D1383="労務費",D1383="外注費",D1383="経費")),"費目を4つから選んでください",IF(K1383="",IF(AND(ISNUMBER(F1383),NOT(ISNUMBER(J1383))),IF(D1383="労務費","単価がありません（設定の作業者名と同じ書き方に）","単価がありません"),IF(AND(ISNUMBER(J1383),NOT(ISNUMBER(F1383))),"数量がありません","金額がありません")),IF(NOT(ISNUMBER(A1383)),"日付がありません（月別集計に入りません）",IF(AND(ISNUMBER(F1383),ISNUMBER(J1383),ISNUMBER(I1383)),"数量×単価を使いました（金額の欄は使っていません）","")))))))</f>
        <v/>
      </c>
      <c r="N1383" s="91">
        <f>IF(AND(B1383&lt;&gt;"",B1383='案件カード'!$C$3),COUNTIF($B$5:B1383,'案件カード'!$C$3),"")</f>
        <v/>
      </c>
      <c r="O1383" s="91">
        <f>IF(ISNUMBER(K1383),IF(B1383="",K1383,IF(AND(ISNUMBER(MATCH(B1383,'案件'!$A$6:$A$105,0)),OR(D1383="材料費",D1383="労務費",D1383="外注費",D1383="経費")),0,K1383)),0)</f>
        <v/>
      </c>
    </row>
    <row r="1384" ht="16" customHeight="1">
      <c r="A1384" s="35" t="n"/>
      <c r="B1384" s="36" t="n"/>
      <c r="C1384" s="37">
        <f>IF(B1384="","",IFERROR(INDEX('案件'!$B$6:$B$105,MATCH(B1384,'案件'!$A$6:$A$105,0))&amp;"","（案件シートに無い番号）"))</f>
        <v/>
      </c>
      <c r="D1384" s="36" t="n"/>
      <c r="E1384" s="38" t="n"/>
      <c r="F1384" s="39" t="n"/>
      <c r="G1384" s="36" t="n"/>
      <c r="H1384" s="40" t="n"/>
      <c r="I1384" s="40" t="n"/>
      <c r="J1384" s="41">
        <f>IF(ISNUMBER(H1384),H1384,IF(AND(D1384="労務費",TRIM(E1384)&lt;&gt;""),IFERROR(INDEX('設定'!$G$12:$G$31,MATCH(TRIM(E1384),'設定'!$J$12:$J$31,0)),""),""))</f>
        <v/>
      </c>
      <c r="K1384" s="30">
        <f>IF(AND(ISNUMBER(F1384),ISNUMBER(J1384)),ROUND(F1384*J1384,0),IF(ISNUMBER(I1384),I1384,""))</f>
        <v/>
      </c>
      <c r="L1384" s="33" t="n"/>
      <c r="M1384" s="34">
        <f>IF(COUNTA(A1384:B1384,D1384:I1384,L1384)=0,"",IF(B1384="","案件番号がありません",IF(ISNA(MATCH(B1384,'案件'!$A$6:$A$105,0)),"案件シートに無い番号です",IF(NOT(OR(D1384="材料費",D1384="労務費",D1384="外注費",D1384="経費")),"費目を4つから選んでください",IF(K1384="",IF(AND(ISNUMBER(F1384),NOT(ISNUMBER(J1384))),IF(D1384="労務費","単価がありません（設定の作業者名と同じ書き方に）","単価がありません"),IF(AND(ISNUMBER(J1384),NOT(ISNUMBER(F1384))),"数量がありません","金額がありません")),IF(NOT(ISNUMBER(A1384)),"日付がありません（月別集計に入りません）",IF(AND(ISNUMBER(F1384),ISNUMBER(J1384),ISNUMBER(I1384)),"数量×単価を使いました（金額の欄は使っていません）","")))))))</f>
        <v/>
      </c>
      <c r="N1384" s="91">
        <f>IF(AND(B1384&lt;&gt;"",B1384='案件カード'!$C$3),COUNTIF($B$5:B1384,'案件カード'!$C$3),"")</f>
        <v/>
      </c>
      <c r="O1384" s="91">
        <f>IF(ISNUMBER(K1384),IF(B1384="",K1384,IF(AND(ISNUMBER(MATCH(B1384,'案件'!$A$6:$A$105,0)),OR(D1384="材料費",D1384="労務費",D1384="外注費",D1384="経費")),0,K1384)),0)</f>
        <v/>
      </c>
    </row>
    <row r="1385" ht="16" customHeight="1">
      <c r="A1385" s="35" t="n"/>
      <c r="B1385" s="36" t="n"/>
      <c r="C1385" s="37">
        <f>IF(B1385="","",IFERROR(INDEX('案件'!$B$6:$B$105,MATCH(B1385,'案件'!$A$6:$A$105,0))&amp;"","（案件シートに無い番号）"))</f>
        <v/>
      </c>
      <c r="D1385" s="36" t="n"/>
      <c r="E1385" s="38" t="n"/>
      <c r="F1385" s="39" t="n"/>
      <c r="G1385" s="36" t="n"/>
      <c r="H1385" s="40" t="n"/>
      <c r="I1385" s="40" t="n"/>
      <c r="J1385" s="41">
        <f>IF(ISNUMBER(H1385),H1385,IF(AND(D1385="労務費",TRIM(E1385)&lt;&gt;""),IFERROR(INDEX('設定'!$G$12:$G$31,MATCH(TRIM(E1385),'設定'!$J$12:$J$31,0)),""),""))</f>
        <v/>
      </c>
      <c r="K1385" s="30">
        <f>IF(AND(ISNUMBER(F1385),ISNUMBER(J1385)),ROUND(F1385*J1385,0),IF(ISNUMBER(I1385),I1385,""))</f>
        <v/>
      </c>
      <c r="L1385" s="33" t="n"/>
      <c r="M1385" s="34">
        <f>IF(COUNTA(A1385:B1385,D1385:I1385,L1385)=0,"",IF(B1385="","案件番号がありません",IF(ISNA(MATCH(B1385,'案件'!$A$6:$A$105,0)),"案件シートに無い番号です",IF(NOT(OR(D1385="材料費",D1385="労務費",D1385="外注費",D1385="経費")),"費目を4つから選んでください",IF(K1385="",IF(AND(ISNUMBER(F1385),NOT(ISNUMBER(J1385))),IF(D1385="労務費","単価がありません（設定の作業者名と同じ書き方に）","単価がありません"),IF(AND(ISNUMBER(J1385),NOT(ISNUMBER(F1385))),"数量がありません","金額がありません")),IF(NOT(ISNUMBER(A1385)),"日付がありません（月別集計に入りません）",IF(AND(ISNUMBER(F1385),ISNUMBER(J1385),ISNUMBER(I1385)),"数量×単価を使いました（金額の欄は使っていません）","")))))))</f>
        <v/>
      </c>
      <c r="N1385" s="91">
        <f>IF(AND(B1385&lt;&gt;"",B1385='案件カード'!$C$3),COUNTIF($B$5:B1385,'案件カード'!$C$3),"")</f>
        <v/>
      </c>
      <c r="O1385" s="91">
        <f>IF(ISNUMBER(K1385),IF(B1385="",K1385,IF(AND(ISNUMBER(MATCH(B1385,'案件'!$A$6:$A$105,0)),OR(D1385="材料費",D1385="労務費",D1385="外注費",D1385="経費")),0,K1385)),0)</f>
        <v/>
      </c>
    </row>
    <row r="1386" ht="16" customHeight="1">
      <c r="A1386" s="35" t="n"/>
      <c r="B1386" s="36" t="n"/>
      <c r="C1386" s="37">
        <f>IF(B1386="","",IFERROR(INDEX('案件'!$B$6:$B$105,MATCH(B1386,'案件'!$A$6:$A$105,0))&amp;"","（案件シートに無い番号）"))</f>
        <v/>
      </c>
      <c r="D1386" s="36" t="n"/>
      <c r="E1386" s="38" t="n"/>
      <c r="F1386" s="39" t="n"/>
      <c r="G1386" s="36" t="n"/>
      <c r="H1386" s="40" t="n"/>
      <c r="I1386" s="40" t="n"/>
      <c r="J1386" s="41">
        <f>IF(ISNUMBER(H1386),H1386,IF(AND(D1386="労務費",TRIM(E1386)&lt;&gt;""),IFERROR(INDEX('設定'!$G$12:$G$31,MATCH(TRIM(E1386),'設定'!$J$12:$J$31,0)),""),""))</f>
        <v/>
      </c>
      <c r="K1386" s="30">
        <f>IF(AND(ISNUMBER(F1386),ISNUMBER(J1386)),ROUND(F1386*J1386,0),IF(ISNUMBER(I1386),I1386,""))</f>
        <v/>
      </c>
      <c r="L1386" s="33" t="n"/>
      <c r="M1386" s="34">
        <f>IF(COUNTA(A1386:B1386,D1386:I1386,L1386)=0,"",IF(B1386="","案件番号がありません",IF(ISNA(MATCH(B1386,'案件'!$A$6:$A$105,0)),"案件シートに無い番号です",IF(NOT(OR(D1386="材料費",D1386="労務費",D1386="外注費",D1386="経費")),"費目を4つから選んでください",IF(K1386="",IF(AND(ISNUMBER(F1386),NOT(ISNUMBER(J1386))),IF(D1386="労務費","単価がありません（設定の作業者名と同じ書き方に）","単価がありません"),IF(AND(ISNUMBER(J1386),NOT(ISNUMBER(F1386))),"数量がありません","金額がありません")),IF(NOT(ISNUMBER(A1386)),"日付がありません（月別集計に入りません）",IF(AND(ISNUMBER(F1386),ISNUMBER(J1386),ISNUMBER(I1386)),"数量×単価を使いました（金額の欄は使っていません）","")))))))</f>
        <v/>
      </c>
      <c r="N1386" s="91">
        <f>IF(AND(B1386&lt;&gt;"",B1386='案件カード'!$C$3),COUNTIF($B$5:B1386,'案件カード'!$C$3),"")</f>
        <v/>
      </c>
      <c r="O1386" s="91">
        <f>IF(ISNUMBER(K1386),IF(B1386="",K1386,IF(AND(ISNUMBER(MATCH(B1386,'案件'!$A$6:$A$105,0)),OR(D1386="材料費",D1386="労務費",D1386="外注費",D1386="経費")),0,K1386)),0)</f>
        <v/>
      </c>
    </row>
    <row r="1387" ht="16" customHeight="1">
      <c r="A1387" s="35" t="n"/>
      <c r="B1387" s="36" t="n"/>
      <c r="C1387" s="37">
        <f>IF(B1387="","",IFERROR(INDEX('案件'!$B$6:$B$105,MATCH(B1387,'案件'!$A$6:$A$105,0))&amp;"","（案件シートに無い番号）"))</f>
        <v/>
      </c>
      <c r="D1387" s="36" t="n"/>
      <c r="E1387" s="38" t="n"/>
      <c r="F1387" s="39" t="n"/>
      <c r="G1387" s="36" t="n"/>
      <c r="H1387" s="40" t="n"/>
      <c r="I1387" s="40" t="n"/>
      <c r="J1387" s="41">
        <f>IF(ISNUMBER(H1387),H1387,IF(AND(D1387="労務費",TRIM(E1387)&lt;&gt;""),IFERROR(INDEX('設定'!$G$12:$G$31,MATCH(TRIM(E1387),'設定'!$J$12:$J$31,0)),""),""))</f>
        <v/>
      </c>
      <c r="K1387" s="30">
        <f>IF(AND(ISNUMBER(F1387),ISNUMBER(J1387)),ROUND(F1387*J1387,0),IF(ISNUMBER(I1387),I1387,""))</f>
        <v/>
      </c>
      <c r="L1387" s="33" t="n"/>
      <c r="M1387" s="34">
        <f>IF(COUNTA(A1387:B1387,D1387:I1387,L1387)=0,"",IF(B1387="","案件番号がありません",IF(ISNA(MATCH(B1387,'案件'!$A$6:$A$105,0)),"案件シートに無い番号です",IF(NOT(OR(D1387="材料費",D1387="労務費",D1387="外注費",D1387="経費")),"費目を4つから選んでください",IF(K1387="",IF(AND(ISNUMBER(F1387),NOT(ISNUMBER(J1387))),IF(D1387="労務費","単価がありません（設定の作業者名と同じ書き方に）","単価がありません"),IF(AND(ISNUMBER(J1387),NOT(ISNUMBER(F1387))),"数量がありません","金額がありません")),IF(NOT(ISNUMBER(A1387)),"日付がありません（月別集計に入りません）",IF(AND(ISNUMBER(F1387),ISNUMBER(J1387),ISNUMBER(I1387)),"数量×単価を使いました（金額の欄は使っていません）","")))))))</f>
        <v/>
      </c>
      <c r="N1387" s="91">
        <f>IF(AND(B1387&lt;&gt;"",B1387='案件カード'!$C$3),COUNTIF($B$5:B1387,'案件カード'!$C$3),"")</f>
        <v/>
      </c>
      <c r="O1387" s="91">
        <f>IF(ISNUMBER(K1387),IF(B1387="",K1387,IF(AND(ISNUMBER(MATCH(B1387,'案件'!$A$6:$A$105,0)),OR(D1387="材料費",D1387="労務費",D1387="外注費",D1387="経費")),0,K1387)),0)</f>
        <v/>
      </c>
    </row>
    <row r="1388" ht="16" customHeight="1">
      <c r="A1388" s="35" t="n"/>
      <c r="B1388" s="36" t="n"/>
      <c r="C1388" s="37">
        <f>IF(B1388="","",IFERROR(INDEX('案件'!$B$6:$B$105,MATCH(B1388,'案件'!$A$6:$A$105,0))&amp;"","（案件シートに無い番号）"))</f>
        <v/>
      </c>
      <c r="D1388" s="36" t="n"/>
      <c r="E1388" s="38" t="n"/>
      <c r="F1388" s="39" t="n"/>
      <c r="G1388" s="36" t="n"/>
      <c r="H1388" s="40" t="n"/>
      <c r="I1388" s="40" t="n"/>
      <c r="J1388" s="41">
        <f>IF(ISNUMBER(H1388),H1388,IF(AND(D1388="労務費",TRIM(E1388)&lt;&gt;""),IFERROR(INDEX('設定'!$G$12:$G$31,MATCH(TRIM(E1388),'設定'!$J$12:$J$31,0)),""),""))</f>
        <v/>
      </c>
      <c r="K1388" s="30">
        <f>IF(AND(ISNUMBER(F1388),ISNUMBER(J1388)),ROUND(F1388*J1388,0),IF(ISNUMBER(I1388),I1388,""))</f>
        <v/>
      </c>
      <c r="L1388" s="33" t="n"/>
      <c r="M1388" s="34">
        <f>IF(COUNTA(A1388:B1388,D1388:I1388,L1388)=0,"",IF(B1388="","案件番号がありません",IF(ISNA(MATCH(B1388,'案件'!$A$6:$A$105,0)),"案件シートに無い番号です",IF(NOT(OR(D1388="材料費",D1388="労務費",D1388="外注費",D1388="経費")),"費目を4つから選んでください",IF(K1388="",IF(AND(ISNUMBER(F1388),NOT(ISNUMBER(J1388))),IF(D1388="労務費","単価がありません（設定の作業者名と同じ書き方に）","単価がありません"),IF(AND(ISNUMBER(J1388),NOT(ISNUMBER(F1388))),"数量がありません","金額がありません")),IF(NOT(ISNUMBER(A1388)),"日付がありません（月別集計に入りません）",IF(AND(ISNUMBER(F1388),ISNUMBER(J1388),ISNUMBER(I1388)),"数量×単価を使いました（金額の欄は使っていません）","")))))))</f>
        <v/>
      </c>
      <c r="N1388" s="91">
        <f>IF(AND(B1388&lt;&gt;"",B1388='案件カード'!$C$3),COUNTIF($B$5:B1388,'案件カード'!$C$3),"")</f>
        <v/>
      </c>
      <c r="O1388" s="91">
        <f>IF(ISNUMBER(K1388),IF(B1388="",K1388,IF(AND(ISNUMBER(MATCH(B1388,'案件'!$A$6:$A$105,0)),OR(D1388="材料費",D1388="労務費",D1388="外注費",D1388="経費")),0,K1388)),0)</f>
        <v/>
      </c>
    </row>
    <row r="1389" ht="16" customHeight="1">
      <c r="A1389" s="35" t="n"/>
      <c r="B1389" s="36" t="n"/>
      <c r="C1389" s="37">
        <f>IF(B1389="","",IFERROR(INDEX('案件'!$B$6:$B$105,MATCH(B1389,'案件'!$A$6:$A$105,0))&amp;"","（案件シートに無い番号）"))</f>
        <v/>
      </c>
      <c r="D1389" s="36" t="n"/>
      <c r="E1389" s="38" t="n"/>
      <c r="F1389" s="39" t="n"/>
      <c r="G1389" s="36" t="n"/>
      <c r="H1389" s="40" t="n"/>
      <c r="I1389" s="40" t="n"/>
      <c r="J1389" s="41">
        <f>IF(ISNUMBER(H1389),H1389,IF(AND(D1389="労務費",TRIM(E1389)&lt;&gt;""),IFERROR(INDEX('設定'!$G$12:$G$31,MATCH(TRIM(E1389),'設定'!$J$12:$J$31,0)),""),""))</f>
        <v/>
      </c>
      <c r="K1389" s="30">
        <f>IF(AND(ISNUMBER(F1389),ISNUMBER(J1389)),ROUND(F1389*J1389,0),IF(ISNUMBER(I1389),I1389,""))</f>
        <v/>
      </c>
      <c r="L1389" s="33" t="n"/>
      <c r="M1389" s="34">
        <f>IF(COUNTA(A1389:B1389,D1389:I1389,L1389)=0,"",IF(B1389="","案件番号がありません",IF(ISNA(MATCH(B1389,'案件'!$A$6:$A$105,0)),"案件シートに無い番号です",IF(NOT(OR(D1389="材料費",D1389="労務費",D1389="外注費",D1389="経費")),"費目を4つから選んでください",IF(K1389="",IF(AND(ISNUMBER(F1389),NOT(ISNUMBER(J1389))),IF(D1389="労務費","単価がありません（設定の作業者名と同じ書き方に）","単価がありません"),IF(AND(ISNUMBER(J1389),NOT(ISNUMBER(F1389))),"数量がありません","金額がありません")),IF(NOT(ISNUMBER(A1389)),"日付がありません（月別集計に入りません）",IF(AND(ISNUMBER(F1389),ISNUMBER(J1389),ISNUMBER(I1389)),"数量×単価を使いました（金額の欄は使っていません）","")))))))</f>
        <v/>
      </c>
      <c r="N1389" s="91">
        <f>IF(AND(B1389&lt;&gt;"",B1389='案件カード'!$C$3),COUNTIF($B$5:B1389,'案件カード'!$C$3),"")</f>
        <v/>
      </c>
      <c r="O1389" s="91">
        <f>IF(ISNUMBER(K1389),IF(B1389="",K1389,IF(AND(ISNUMBER(MATCH(B1389,'案件'!$A$6:$A$105,0)),OR(D1389="材料費",D1389="労務費",D1389="外注費",D1389="経費")),0,K1389)),0)</f>
        <v/>
      </c>
    </row>
    <row r="1390" ht="16" customHeight="1">
      <c r="A1390" s="35" t="n"/>
      <c r="B1390" s="36" t="n"/>
      <c r="C1390" s="37">
        <f>IF(B1390="","",IFERROR(INDEX('案件'!$B$6:$B$105,MATCH(B1390,'案件'!$A$6:$A$105,0))&amp;"","（案件シートに無い番号）"))</f>
        <v/>
      </c>
      <c r="D1390" s="36" t="n"/>
      <c r="E1390" s="38" t="n"/>
      <c r="F1390" s="39" t="n"/>
      <c r="G1390" s="36" t="n"/>
      <c r="H1390" s="40" t="n"/>
      <c r="I1390" s="40" t="n"/>
      <c r="J1390" s="41">
        <f>IF(ISNUMBER(H1390),H1390,IF(AND(D1390="労務費",TRIM(E1390)&lt;&gt;""),IFERROR(INDEX('設定'!$G$12:$G$31,MATCH(TRIM(E1390),'設定'!$J$12:$J$31,0)),""),""))</f>
        <v/>
      </c>
      <c r="K1390" s="30">
        <f>IF(AND(ISNUMBER(F1390),ISNUMBER(J1390)),ROUND(F1390*J1390,0),IF(ISNUMBER(I1390),I1390,""))</f>
        <v/>
      </c>
      <c r="L1390" s="33" t="n"/>
      <c r="M1390" s="34">
        <f>IF(COUNTA(A1390:B1390,D1390:I1390,L1390)=0,"",IF(B1390="","案件番号がありません",IF(ISNA(MATCH(B1390,'案件'!$A$6:$A$105,0)),"案件シートに無い番号です",IF(NOT(OR(D1390="材料費",D1390="労務費",D1390="外注費",D1390="経費")),"費目を4つから選んでください",IF(K1390="",IF(AND(ISNUMBER(F1390),NOT(ISNUMBER(J1390))),IF(D1390="労務費","単価がありません（設定の作業者名と同じ書き方に）","単価がありません"),IF(AND(ISNUMBER(J1390),NOT(ISNUMBER(F1390))),"数量がありません","金額がありません")),IF(NOT(ISNUMBER(A1390)),"日付がありません（月別集計に入りません）",IF(AND(ISNUMBER(F1390),ISNUMBER(J1390),ISNUMBER(I1390)),"数量×単価を使いました（金額の欄は使っていません）","")))))))</f>
        <v/>
      </c>
      <c r="N1390" s="91">
        <f>IF(AND(B1390&lt;&gt;"",B1390='案件カード'!$C$3),COUNTIF($B$5:B1390,'案件カード'!$C$3),"")</f>
        <v/>
      </c>
      <c r="O1390" s="91">
        <f>IF(ISNUMBER(K1390),IF(B1390="",K1390,IF(AND(ISNUMBER(MATCH(B1390,'案件'!$A$6:$A$105,0)),OR(D1390="材料費",D1390="労務費",D1390="外注費",D1390="経費")),0,K1390)),0)</f>
        <v/>
      </c>
    </row>
    <row r="1391" ht="16" customHeight="1">
      <c r="A1391" s="35" t="n"/>
      <c r="B1391" s="36" t="n"/>
      <c r="C1391" s="37">
        <f>IF(B1391="","",IFERROR(INDEX('案件'!$B$6:$B$105,MATCH(B1391,'案件'!$A$6:$A$105,0))&amp;"","（案件シートに無い番号）"))</f>
        <v/>
      </c>
      <c r="D1391" s="36" t="n"/>
      <c r="E1391" s="38" t="n"/>
      <c r="F1391" s="39" t="n"/>
      <c r="G1391" s="36" t="n"/>
      <c r="H1391" s="40" t="n"/>
      <c r="I1391" s="40" t="n"/>
      <c r="J1391" s="41">
        <f>IF(ISNUMBER(H1391),H1391,IF(AND(D1391="労務費",TRIM(E1391)&lt;&gt;""),IFERROR(INDEX('設定'!$G$12:$G$31,MATCH(TRIM(E1391),'設定'!$J$12:$J$31,0)),""),""))</f>
        <v/>
      </c>
      <c r="K1391" s="30">
        <f>IF(AND(ISNUMBER(F1391),ISNUMBER(J1391)),ROUND(F1391*J1391,0),IF(ISNUMBER(I1391),I1391,""))</f>
        <v/>
      </c>
      <c r="L1391" s="33" t="n"/>
      <c r="M1391" s="34">
        <f>IF(COUNTA(A1391:B1391,D1391:I1391,L1391)=0,"",IF(B1391="","案件番号がありません",IF(ISNA(MATCH(B1391,'案件'!$A$6:$A$105,0)),"案件シートに無い番号です",IF(NOT(OR(D1391="材料費",D1391="労務費",D1391="外注費",D1391="経費")),"費目を4つから選んでください",IF(K1391="",IF(AND(ISNUMBER(F1391),NOT(ISNUMBER(J1391))),IF(D1391="労務費","単価がありません（設定の作業者名と同じ書き方に）","単価がありません"),IF(AND(ISNUMBER(J1391),NOT(ISNUMBER(F1391))),"数量がありません","金額がありません")),IF(NOT(ISNUMBER(A1391)),"日付がありません（月別集計に入りません）",IF(AND(ISNUMBER(F1391),ISNUMBER(J1391),ISNUMBER(I1391)),"数量×単価を使いました（金額の欄は使っていません）","")))))))</f>
        <v/>
      </c>
      <c r="N1391" s="91">
        <f>IF(AND(B1391&lt;&gt;"",B1391='案件カード'!$C$3),COUNTIF($B$5:B1391,'案件カード'!$C$3),"")</f>
        <v/>
      </c>
      <c r="O1391" s="91">
        <f>IF(ISNUMBER(K1391),IF(B1391="",K1391,IF(AND(ISNUMBER(MATCH(B1391,'案件'!$A$6:$A$105,0)),OR(D1391="材料費",D1391="労務費",D1391="外注費",D1391="経費")),0,K1391)),0)</f>
        <v/>
      </c>
    </row>
    <row r="1392" ht="16" customHeight="1">
      <c r="A1392" s="35" t="n"/>
      <c r="B1392" s="36" t="n"/>
      <c r="C1392" s="37">
        <f>IF(B1392="","",IFERROR(INDEX('案件'!$B$6:$B$105,MATCH(B1392,'案件'!$A$6:$A$105,0))&amp;"","（案件シートに無い番号）"))</f>
        <v/>
      </c>
      <c r="D1392" s="36" t="n"/>
      <c r="E1392" s="38" t="n"/>
      <c r="F1392" s="39" t="n"/>
      <c r="G1392" s="36" t="n"/>
      <c r="H1392" s="40" t="n"/>
      <c r="I1392" s="40" t="n"/>
      <c r="J1392" s="41">
        <f>IF(ISNUMBER(H1392),H1392,IF(AND(D1392="労務費",TRIM(E1392)&lt;&gt;""),IFERROR(INDEX('設定'!$G$12:$G$31,MATCH(TRIM(E1392),'設定'!$J$12:$J$31,0)),""),""))</f>
        <v/>
      </c>
      <c r="K1392" s="30">
        <f>IF(AND(ISNUMBER(F1392),ISNUMBER(J1392)),ROUND(F1392*J1392,0),IF(ISNUMBER(I1392),I1392,""))</f>
        <v/>
      </c>
      <c r="L1392" s="33" t="n"/>
      <c r="M1392" s="34">
        <f>IF(COUNTA(A1392:B1392,D1392:I1392,L1392)=0,"",IF(B1392="","案件番号がありません",IF(ISNA(MATCH(B1392,'案件'!$A$6:$A$105,0)),"案件シートに無い番号です",IF(NOT(OR(D1392="材料費",D1392="労務費",D1392="外注費",D1392="経費")),"費目を4つから選んでください",IF(K1392="",IF(AND(ISNUMBER(F1392),NOT(ISNUMBER(J1392))),IF(D1392="労務費","単価がありません（設定の作業者名と同じ書き方に）","単価がありません"),IF(AND(ISNUMBER(J1392),NOT(ISNUMBER(F1392))),"数量がありません","金額がありません")),IF(NOT(ISNUMBER(A1392)),"日付がありません（月別集計に入りません）",IF(AND(ISNUMBER(F1392),ISNUMBER(J1392),ISNUMBER(I1392)),"数量×単価を使いました（金額の欄は使っていません）","")))))))</f>
        <v/>
      </c>
      <c r="N1392" s="91">
        <f>IF(AND(B1392&lt;&gt;"",B1392='案件カード'!$C$3),COUNTIF($B$5:B1392,'案件カード'!$C$3),"")</f>
        <v/>
      </c>
      <c r="O1392" s="91">
        <f>IF(ISNUMBER(K1392),IF(B1392="",K1392,IF(AND(ISNUMBER(MATCH(B1392,'案件'!$A$6:$A$105,0)),OR(D1392="材料費",D1392="労務費",D1392="外注費",D1392="経費")),0,K1392)),0)</f>
        <v/>
      </c>
    </row>
    <row r="1393" ht="16" customHeight="1">
      <c r="A1393" s="35" t="n"/>
      <c r="B1393" s="36" t="n"/>
      <c r="C1393" s="37">
        <f>IF(B1393="","",IFERROR(INDEX('案件'!$B$6:$B$105,MATCH(B1393,'案件'!$A$6:$A$105,0))&amp;"","（案件シートに無い番号）"))</f>
        <v/>
      </c>
      <c r="D1393" s="36" t="n"/>
      <c r="E1393" s="38" t="n"/>
      <c r="F1393" s="39" t="n"/>
      <c r="G1393" s="36" t="n"/>
      <c r="H1393" s="40" t="n"/>
      <c r="I1393" s="40" t="n"/>
      <c r="J1393" s="41">
        <f>IF(ISNUMBER(H1393),H1393,IF(AND(D1393="労務費",TRIM(E1393)&lt;&gt;""),IFERROR(INDEX('設定'!$G$12:$G$31,MATCH(TRIM(E1393),'設定'!$J$12:$J$31,0)),""),""))</f>
        <v/>
      </c>
      <c r="K1393" s="30">
        <f>IF(AND(ISNUMBER(F1393),ISNUMBER(J1393)),ROUND(F1393*J1393,0),IF(ISNUMBER(I1393),I1393,""))</f>
        <v/>
      </c>
      <c r="L1393" s="33" t="n"/>
      <c r="M1393" s="34">
        <f>IF(COUNTA(A1393:B1393,D1393:I1393,L1393)=0,"",IF(B1393="","案件番号がありません",IF(ISNA(MATCH(B1393,'案件'!$A$6:$A$105,0)),"案件シートに無い番号です",IF(NOT(OR(D1393="材料費",D1393="労務費",D1393="外注費",D1393="経費")),"費目を4つから選んでください",IF(K1393="",IF(AND(ISNUMBER(F1393),NOT(ISNUMBER(J1393))),IF(D1393="労務費","単価がありません（設定の作業者名と同じ書き方に）","単価がありません"),IF(AND(ISNUMBER(J1393),NOT(ISNUMBER(F1393))),"数量がありません","金額がありません")),IF(NOT(ISNUMBER(A1393)),"日付がありません（月別集計に入りません）",IF(AND(ISNUMBER(F1393),ISNUMBER(J1393),ISNUMBER(I1393)),"数量×単価を使いました（金額の欄は使っていません）","")))))))</f>
        <v/>
      </c>
      <c r="N1393" s="91">
        <f>IF(AND(B1393&lt;&gt;"",B1393='案件カード'!$C$3),COUNTIF($B$5:B1393,'案件カード'!$C$3),"")</f>
        <v/>
      </c>
      <c r="O1393" s="91">
        <f>IF(ISNUMBER(K1393),IF(B1393="",K1393,IF(AND(ISNUMBER(MATCH(B1393,'案件'!$A$6:$A$105,0)),OR(D1393="材料費",D1393="労務費",D1393="外注費",D1393="経費")),0,K1393)),0)</f>
        <v/>
      </c>
    </row>
    <row r="1394" ht="16" customHeight="1">
      <c r="A1394" s="35" t="n"/>
      <c r="B1394" s="36" t="n"/>
      <c r="C1394" s="37">
        <f>IF(B1394="","",IFERROR(INDEX('案件'!$B$6:$B$105,MATCH(B1394,'案件'!$A$6:$A$105,0))&amp;"","（案件シートに無い番号）"))</f>
        <v/>
      </c>
      <c r="D1394" s="36" t="n"/>
      <c r="E1394" s="38" t="n"/>
      <c r="F1394" s="39" t="n"/>
      <c r="G1394" s="36" t="n"/>
      <c r="H1394" s="40" t="n"/>
      <c r="I1394" s="40" t="n"/>
      <c r="J1394" s="41">
        <f>IF(ISNUMBER(H1394),H1394,IF(AND(D1394="労務費",TRIM(E1394)&lt;&gt;""),IFERROR(INDEX('設定'!$G$12:$G$31,MATCH(TRIM(E1394),'設定'!$J$12:$J$31,0)),""),""))</f>
        <v/>
      </c>
      <c r="K1394" s="30">
        <f>IF(AND(ISNUMBER(F1394),ISNUMBER(J1394)),ROUND(F1394*J1394,0),IF(ISNUMBER(I1394),I1394,""))</f>
        <v/>
      </c>
      <c r="L1394" s="33" t="n"/>
      <c r="M1394" s="34">
        <f>IF(COUNTA(A1394:B1394,D1394:I1394,L1394)=0,"",IF(B1394="","案件番号がありません",IF(ISNA(MATCH(B1394,'案件'!$A$6:$A$105,0)),"案件シートに無い番号です",IF(NOT(OR(D1394="材料費",D1394="労務費",D1394="外注費",D1394="経費")),"費目を4つから選んでください",IF(K1394="",IF(AND(ISNUMBER(F1394),NOT(ISNUMBER(J1394))),IF(D1394="労務費","単価がありません（設定の作業者名と同じ書き方に）","単価がありません"),IF(AND(ISNUMBER(J1394),NOT(ISNUMBER(F1394))),"数量がありません","金額がありません")),IF(NOT(ISNUMBER(A1394)),"日付がありません（月別集計に入りません）",IF(AND(ISNUMBER(F1394),ISNUMBER(J1394),ISNUMBER(I1394)),"数量×単価を使いました（金額の欄は使っていません）","")))))))</f>
        <v/>
      </c>
      <c r="N1394" s="91">
        <f>IF(AND(B1394&lt;&gt;"",B1394='案件カード'!$C$3),COUNTIF($B$5:B1394,'案件カード'!$C$3),"")</f>
        <v/>
      </c>
      <c r="O1394" s="91">
        <f>IF(ISNUMBER(K1394),IF(B1394="",K1394,IF(AND(ISNUMBER(MATCH(B1394,'案件'!$A$6:$A$105,0)),OR(D1394="材料費",D1394="労務費",D1394="外注費",D1394="経費")),0,K1394)),0)</f>
        <v/>
      </c>
    </row>
    <row r="1395" ht="16" customHeight="1">
      <c r="A1395" s="35" t="n"/>
      <c r="B1395" s="36" t="n"/>
      <c r="C1395" s="37">
        <f>IF(B1395="","",IFERROR(INDEX('案件'!$B$6:$B$105,MATCH(B1395,'案件'!$A$6:$A$105,0))&amp;"","（案件シートに無い番号）"))</f>
        <v/>
      </c>
      <c r="D1395" s="36" t="n"/>
      <c r="E1395" s="38" t="n"/>
      <c r="F1395" s="39" t="n"/>
      <c r="G1395" s="36" t="n"/>
      <c r="H1395" s="40" t="n"/>
      <c r="I1395" s="40" t="n"/>
      <c r="J1395" s="41">
        <f>IF(ISNUMBER(H1395),H1395,IF(AND(D1395="労務費",TRIM(E1395)&lt;&gt;""),IFERROR(INDEX('設定'!$G$12:$G$31,MATCH(TRIM(E1395),'設定'!$J$12:$J$31,0)),""),""))</f>
        <v/>
      </c>
      <c r="K1395" s="30">
        <f>IF(AND(ISNUMBER(F1395),ISNUMBER(J1395)),ROUND(F1395*J1395,0),IF(ISNUMBER(I1395),I1395,""))</f>
        <v/>
      </c>
      <c r="L1395" s="33" t="n"/>
      <c r="M1395" s="34">
        <f>IF(COUNTA(A1395:B1395,D1395:I1395,L1395)=0,"",IF(B1395="","案件番号がありません",IF(ISNA(MATCH(B1395,'案件'!$A$6:$A$105,0)),"案件シートに無い番号です",IF(NOT(OR(D1395="材料費",D1395="労務費",D1395="外注費",D1395="経費")),"費目を4つから選んでください",IF(K1395="",IF(AND(ISNUMBER(F1395),NOT(ISNUMBER(J1395))),IF(D1395="労務費","単価がありません（設定の作業者名と同じ書き方に）","単価がありません"),IF(AND(ISNUMBER(J1395),NOT(ISNUMBER(F1395))),"数量がありません","金額がありません")),IF(NOT(ISNUMBER(A1395)),"日付がありません（月別集計に入りません）",IF(AND(ISNUMBER(F1395),ISNUMBER(J1395),ISNUMBER(I1395)),"数量×単価を使いました（金額の欄は使っていません）","")))))))</f>
        <v/>
      </c>
      <c r="N1395" s="91">
        <f>IF(AND(B1395&lt;&gt;"",B1395='案件カード'!$C$3),COUNTIF($B$5:B1395,'案件カード'!$C$3),"")</f>
        <v/>
      </c>
      <c r="O1395" s="91">
        <f>IF(ISNUMBER(K1395),IF(B1395="",K1395,IF(AND(ISNUMBER(MATCH(B1395,'案件'!$A$6:$A$105,0)),OR(D1395="材料費",D1395="労務費",D1395="外注費",D1395="経費")),0,K1395)),0)</f>
        <v/>
      </c>
    </row>
    <row r="1396" ht="16" customHeight="1">
      <c r="A1396" s="35" t="n"/>
      <c r="B1396" s="36" t="n"/>
      <c r="C1396" s="37">
        <f>IF(B1396="","",IFERROR(INDEX('案件'!$B$6:$B$105,MATCH(B1396,'案件'!$A$6:$A$105,0))&amp;"","（案件シートに無い番号）"))</f>
        <v/>
      </c>
      <c r="D1396" s="36" t="n"/>
      <c r="E1396" s="38" t="n"/>
      <c r="F1396" s="39" t="n"/>
      <c r="G1396" s="36" t="n"/>
      <c r="H1396" s="40" t="n"/>
      <c r="I1396" s="40" t="n"/>
      <c r="J1396" s="41">
        <f>IF(ISNUMBER(H1396),H1396,IF(AND(D1396="労務費",TRIM(E1396)&lt;&gt;""),IFERROR(INDEX('設定'!$G$12:$G$31,MATCH(TRIM(E1396),'設定'!$J$12:$J$31,0)),""),""))</f>
        <v/>
      </c>
      <c r="K1396" s="30">
        <f>IF(AND(ISNUMBER(F1396),ISNUMBER(J1396)),ROUND(F1396*J1396,0),IF(ISNUMBER(I1396),I1396,""))</f>
        <v/>
      </c>
      <c r="L1396" s="33" t="n"/>
      <c r="M1396" s="34">
        <f>IF(COUNTA(A1396:B1396,D1396:I1396,L1396)=0,"",IF(B1396="","案件番号がありません",IF(ISNA(MATCH(B1396,'案件'!$A$6:$A$105,0)),"案件シートに無い番号です",IF(NOT(OR(D1396="材料費",D1396="労務費",D1396="外注費",D1396="経費")),"費目を4つから選んでください",IF(K1396="",IF(AND(ISNUMBER(F1396),NOT(ISNUMBER(J1396))),IF(D1396="労務費","単価がありません（設定の作業者名と同じ書き方に）","単価がありません"),IF(AND(ISNUMBER(J1396),NOT(ISNUMBER(F1396))),"数量がありません","金額がありません")),IF(NOT(ISNUMBER(A1396)),"日付がありません（月別集計に入りません）",IF(AND(ISNUMBER(F1396),ISNUMBER(J1396),ISNUMBER(I1396)),"数量×単価を使いました（金額の欄は使っていません）","")))))))</f>
        <v/>
      </c>
      <c r="N1396" s="91">
        <f>IF(AND(B1396&lt;&gt;"",B1396='案件カード'!$C$3),COUNTIF($B$5:B1396,'案件カード'!$C$3),"")</f>
        <v/>
      </c>
      <c r="O1396" s="91">
        <f>IF(ISNUMBER(K1396),IF(B1396="",K1396,IF(AND(ISNUMBER(MATCH(B1396,'案件'!$A$6:$A$105,0)),OR(D1396="材料費",D1396="労務費",D1396="外注費",D1396="経費")),0,K1396)),0)</f>
        <v/>
      </c>
    </row>
    <row r="1397" ht="16" customHeight="1">
      <c r="A1397" s="35" t="n"/>
      <c r="B1397" s="36" t="n"/>
      <c r="C1397" s="37">
        <f>IF(B1397="","",IFERROR(INDEX('案件'!$B$6:$B$105,MATCH(B1397,'案件'!$A$6:$A$105,0))&amp;"","（案件シートに無い番号）"))</f>
        <v/>
      </c>
      <c r="D1397" s="36" t="n"/>
      <c r="E1397" s="38" t="n"/>
      <c r="F1397" s="39" t="n"/>
      <c r="G1397" s="36" t="n"/>
      <c r="H1397" s="40" t="n"/>
      <c r="I1397" s="40" t="n"/>
      <c r="J1397" s="41">
        <f>IF(ISNUMBER(H1397),H1397,IF(AND(D1397="労務費",TRIM(E1397)&lt;&gt;""),IFERROR(INDEX('設定'!$G$12:$G$31,MATCH(TRIM(E1397),'設定'!$J$12:$J$31,0)),""),""))</f>
        <v/>
      </c>
      <c r="K1397" s="30">
        <f>IF(AND(ISNUMBER(F1397),ISNUMBER(J1397)),ROUND(F1397*J1397,0),IF(ISNUMBER(I1397),I1397,""))</f>
        <v/>
      </c>
      <c r="L1397" s="33" t="n"/>
      <c r="M1397" s="34">
        <f>IF(COUNTA(A1397:B1397,D1397:I1397,L1397)=0,"",IF(B1397="","案件番号がありません",IF(ISNA(MATCH(B1397,'案件'!$A$6:$A$105,0)),"案件シートに無い番号です",IF(NOT(OR(D1397="材料費",D1397="労務費",D1397="外注費",D1397="経費")),"費目を4つから選んでください",IF(K1397="",IF(AND(ISNUMBER(F1397),NOT(ISNUMBER(J1397))),IF(D1397="労務費","単価がありません（設定の作業者名と同じ書き方に）","単価がありません"),IF(AND(ISNUMBER(J1397),NOT(ISNUMBER(F1397))),"数量がありません","金額がありません")),IF(NOT(ISNUMBER(A1397)),"日付がありません（月別集計に入りません）",IF(AND(ISNUMBER(F1397),ISNUMBER(J1397),ISNUMBER(I1397)),"数量×単価を使いました（金額の欄は使っていません）","")))))))</f>
        <v/>
      </c>
      <c r="N1397" s="91">
        <f>IF(AND(B1397&lt;&gt;"",B1397='案件カード'!$C$3),COUNTIF($B$5:B1397,'案件カード'!$C$3),"")</f>
        <v/>
      </c>
      <c r="O1397" s="91">
        <f>IF(ISNUMBER(K1397),IF(B1397="",K1397,IF(AND(ISNUMBER(MATCH(B1397,'案件'!$A$6:$A$105,0)),OR(D1397="材料費",D1397="労務費",D1397="外注費",D1397="経費")),0,K1397)),0)</f>
        <v/>
      </c>
    </row>
    <row r="1398" ht="16" customHeight="1">
      <c r="A1398" s="35" t="n"/>
      <c r="B1398" s="36" t="n"/>
      <c r="C1398" s="37">
        <f>IF(B1398="","",IFERROR(INDEX('案件'!$B$6:$B$105,MATCH(B1398,'案件'!$A$6:$A$105,0))&amp;"","（案件シートに無い番号）"))</f>
        <v/>
      </c>
      <c r="D1398" s="36" t="n"/>
      <c r="E1398" s="38" t="n"/>
      <c r="F1398" s="39" t="n"/>
      <c r="G1398" s="36" t="n"/>
      <c r="H1398" s="40" t="n"/>
      <c r="I1398" s="40" t="n"/>
      <c r="J1398" s="41">
        <f>IF(ISNUMBER(H1398),H1398,IF(AND(D1398="労務費",TRIM(E1398)&lt;&gt;""),IFERROR(INDEX('設定'!$G$12:$G$31,MATCH(TRIM(E1398),'設定'!$J$12:$J$31,0)),""),""))</f>
        <v/>
      </c>
      <c r="K1398" s="30">
        <f>IF(AND(ISNUMBER(F1398),ISNUMBER(J1398)),ROUND(F1398*J1398,0),IF(ISNUMBER(I1398),I1398,""))</f>
        <v/>
      </c>
      <c r="L1398" s="33" t="n"/>
      <c r="M1398" s="34">
        <f>IF(COUNTA(A1398:B1398,D1398:I1398,L1398)=0,"",IF(B1398="","案件番号がありません",IF(ISNA(MATCH(B1398,'案件'!$A$6:$A$105,0)),"案件シートに無い番号です",IF(NOT(OR(D1398="材料費",D1398="労務費",D1398="外注費",D1398="経費")),"費目を4つから選んでください",IF(K1398="",IF(AND(ISNUMBER(F1398),NOT(ISNUMBER(J1398))),IF(D1398="労務費","単価がありません（設定の作業者名と同じ書き方に）","単価がありません"),IF(AND(ISNUMBER(J1398),NOT(ISNUMBER(F1398))),"数量がありません","金額がありません")),IF(NOT(ISNUMBER(A1398)),"日付がありません（月別集計に入りません）",IF(AND(ISNUMBER(F1398),ISNUMBER(J1398),ISNUMBER(I1398)),"数量×単価を使いました（金額の欄は使っていません）","")))))))</f>
        <v/>
      </c>
      <c r="N1398" s="91">
        <f>IF(AND(B1398&lt;&gt;"",B1398='案件カード'!$C$3),COUNTIF($B$5:B1398,'案件カード'!$C$3),"")</f>
        <v/>
      </c>
      <c r="O1398" s="91">
        <f>IF(ISNUMBER(K1398),IF(B1398="",K1398,IF(AND(ISNUMBER(MATCH(B1398,'案件'!$A$6:$A$105,0)),OR(D1398="材料費",D1398="労務費",D1398="外注費",D1398="経費")),0,K1398)),0)</f>
        <v/>
      </c>
    </row>
    <row r="1399" ht="16" customHeight="1">
      <c r="A1399" s="35" t="n"/>
      <c r="B1399" s="36" t="n"/>
      <c r="C1399" s="37">
        <f>IF(B1399="","",IFERROR(INDEX('案件'!$B$6:$B$105,MATCH(B1399,'案件'!$A$6:$A$105,0))&amp;"","（案件シートに無い番号）"))</f>
        <v/>
      </c>
      <c r="D1399" s="36" t="n"/>
      <c r="E1399" s="38" t="n"/>
      <c r="F1399" s="39" t="n"/>
      <c r="G1399" s="36" t="n"/>
      <c r="H1399" s="40" t="n"/>
      <c r="I1399" s="40" t="n"/>
      <c r="J1399" s="41">
        <f>IF(ISNUMBER(H1399),H1399,IF(AND(D1399="労務費",TRIM(E1399)&lt;&gt;""),IFERROR(INDEX('設定'!$G$12:$G$31,MATCH(TRIM(E1399),'設定'!$J$12:$J$31,0)),""),""))</f>
        <v/>
      </c>
      <c r="K1399" s="30">
        <f>IF(AND(ISNUMBER(F1399),ISNUMBER(J1399)),ROUND(F1399*J1399,0),IF(ISNUMBER(I1399),I1399,""))</f>
        <v/>
      </c>
      <c r="L1399" s="33" t="n"/>
      <c r="M1399" s="34">
        <f>IF(COUNTA(A1399:B1399,D1399:I1399,L1399)=0,"",IF(B1399="","案件番号がありません",IF(ISNA(MATCH(B1399,'案件'!$A$6:$A$105,0)),"案件シートに無い番号です",IF(NOT(OR(D1399="材料費",D1399="労務費",D1399="外注費",D1399="経費")),"費目を4つから選んでください",IF(K1399="",IF(AND(ISNUMBER(F1399),NOT(ISNUMBER(J1399))),IF(D1399="労務費","単価がありません（設定の作業者名と同じ書き方に）","単価がありません"),IF(AND(ISNUMBER(J1399),NOT(ISNUMBER(F1399))),"数量がありません","金額がありません")),IF(NOT(ISNUMBER(A1399)),"日付がありません（月別集計に入りません）",IF(AND(ISNUMBER(F1399),ISNUMBER(J1399),ISNUMBER(I1399)),"数量×単価を使いました（金額の欄は使っていません）","")))))))</f>
        <v/>
      </c>
      <c r="N1399" s="91">
        <f>IF(AND(B1399&lt;&gt;"",B1399='案件カード'!$C$3),COUNTIF($B$5:B1399,'案件カード'!$C$3),"")</f>
        <v/>
      </c>
      <c r="O1399" s="91">
        <f>IF(ISNUMBER(K1399),IF(B1399="",K1399,IF(AND(ISNUMBER(MATCH(B1399,'案件'!$A$6:$A$105,0)),OR(D1399="材料費",D1399="労務費",D1399="外注費",D1399="経費")),0,K1399)),0)</f>
        <v/>
      </c>
    </row>
    <row r="1400" ht="16" customHeight="1">
      <c r="A1400" s="35" t="n"/>
      <c r="B1400" s="36" t="n"/>
      <c r="C1400" s="37">
        <f>IF(B1400="","",IFERROR(INDEX('案件'!$B$6:$B$105,MATCH(B1400,'案件'!$A$6:$A$105,0))&amp;"","（案件シートに無い番号）"))</f>
        <v/>
      </c>
      <c r="D1400" s="36" t="n"/>
      <c r="E1400" s="38" t="n"/>
      <c r="F1400" s="39" t="n"/>
      <c r="G1400" s="36" t="n"/>
      <c r="H1400" s="40" t="n"/>
      <c r="I1400" s="40" t="n"/>
      <c r="J1400" s="41">
        <f>IF(ISNUMBER(H1400),H1400,IF(AND(D1400="労務費",TRIM(E1400)&lt;&gt;""),IFERROR(INDEX('設定'!$G$12:$G$31,MATCH(TRIM(E1400),'設定'!$J$12:$J$31,0)),""),""))</f>
        <v/>
      </c>
      <c r="K1400" s="30">
        <f>IF(AND(ISNUMBER(F1400),ISNUMBER(J1400)),ROUND(F1400*J1400,0),IF(ISNUMBER(I1400),I1400,""))</f>
        <v/>
      </c>
      <c r="L1400" s="33" t="n"/>
      <c r="M1400" s="34">
        <f>IF(COUNTA(A1400:B1400,D1400:I1400,L1400)=0,"",IF(B1400="","案件番号がありません",IF(ISNA(MATCH(B1400,'案件'!$A$6:$A$105,0)),"案件シートに無い番号です",IF(NOT(OR(D1400="材料費",D1400="労務費",D1400="外注費",D1400="経費")),"費目を4つから選んでください",IF(K1400="",IF(AND(ISNUMBER(F1400),NOT(ISNUMBER(J1400))),IF(D1400="労務費","単価がありません（設定の作業者名と同じ書き方に）","単価がありません"),IF(AND(ISNUMBER(J1400),NOT(ISNUMBER(F1400))),"数量がありません","金額がありません")),IF(NOT(ISNUMBER(A1400)),"日付がありません（月別集計に入りません）",IF(AND(ISNUMBER(F1400),ISNUMBER(J1400),ISNUMBER(I1400)),"数量×単価を使いました（金額の欄は使っていません）","")))))))</f>
        <v/>
      </c>
      <c r="N1400" s="91">
        <f>IF(AND(B1400&lt;&gt;"",B1400='案件カード'!$C$3),COUNTIF($B$5:B1400,'案件カード'!$C$3),"")</f>
        <v/>
      </c>
      <c r="O1400" s="91">
        <f>IF(ISNUMBER(K1400),IF(B1400="",K1400,IF(AND(ISNUMBER(MATCH(B1400,'案件'!$A$6:$A$105,0)),OR(D1400="材料費",D1400="労務費",D1400="外注費",D1400="経費")),0,K1400)),0)</f>
        <v/>
      </c>
    </row>
    <row r="1401" ht="16" customHeight="1">
      <c r="A1401" s="35" t="n"/>
      <c r="B1401" s="36" t="n"/>
      <c r="C1401" s="37">
        <f>IF(B1401="","",IFERROR(INDEX('案件'!$B$6:$B$105,MATCH(B1401,'案件'!$A$6:$A$105,0))&amp;"","（案件シートに無い番号）"))</f>
        <v/>
      </c>
      <c r="D1401" s="36" t="n"/>
      <c r="E1401" s="38" t="n"/>
      <c r="F1401" s="39" t="n"/>
      <c r="G1401" s="36" t="n"/>
      <c r="H1401" s="40" t="n"/>
      <c r="I1401" s="40" t="n"/>
      <c r="J1401" s="41">
        <f>IF(ISNUMBER(H1401),H1401,IF(AND(D1401="労務費",TRIM(E1401)&lt;&gt;""),IFERROR(INDEX('設定'!$G$12:$G$31,MATCH(TRIM(E1401),'設定'!$J$12:$J$31,0)),""),""))</f>
        <v/>
      </c>
      <c r="K1401" s="30">
        <f>IF(AND(ISNUMBER(F1401),ISNUMBER(J1401)),ROUND(F1401*J1401,0),IF(ISNUMBER(I1401),I1401,""))</f>
        <v/>
      </c>
      <c r="L1401" s="33" t="n"/>
      <c r="M1401" s="34">
        <f>IF(COUNTA(A1401:B1401,D1401:I1401,L1401)=0,"",IF(B1401="","案件番号がありません",IF(ISNA(MATCH(B1401,'案件'!$A$6:$A$105,0)),"案件シートに無い番号です",IF(NOT(OR(D1401="材料費",D1401="労務費",D1401="外注費",D1401="経費")),"費目を4つから選んでください",IF(K1401="",IF(AND(ISNUMBER(F1401),NOT(ISNUMBER(J1401))),IF(D1401="労務費","単価がありません（設定の作業者名と同じ書き方に）","単価がありません"),IF(AND(ISNUMBER(J1401),NOT(ISNUMBER(F1401))),"数量がありません","金額がありません")),IF(NOT(ISNUMBER(A1401)),"日付がありません（月別集計に入りません）",IF(AND(ISNUMBER(F1401),ISNUMBER(J1401),ISNUMBER(I1401)),"数量×単価を使いました（金額の欄は使っていません）","")))))))</f>
        <v/>
      </c>
      <c r="N1401" s="91">
        <f>IF(AND(B1401&lt;&gt;"",B1401='案件カード'!$C$3),COUNTIF($B$5:B1401,'案件カード'!$C$3),"")</f>
        <v/>
      </c>
      <c r="O1401" s="91">
        <f>IF(ISNUMBER(K1401),IF(B1401="",K1401,IF(AND(ISNUMBER(MATCH(B1401,'案件'!$A$6:$A$105,0)),OR(D1401="材料費",D1401="労務費",D1401="外注費",D1401="経費")),0,K1401)),0)</f>
        <v/>
      </c>
    </row>
    <row r="1402" ht="16" customHeight="1">
      <c r="A1402" s="35" t="n"/>
      <c r="B1402" s="36" t="n"/>
      <c r="C1402" s="37">
        <f>IF(B1402="","",IFERROR(INDEX('案件'!$B$6:$B$105,MATCH(B1402,'案件'!$A$6:$A$105,0))&amp;"","（案件シートに無い番号）"))</f>
        <v/>
      </c>
      <c r="D1402" s="36" t="n"/>
      <c r="E1402" s="38" t="n"/>
      <c r="F1402" s="39" t="n"/>
      <c r="G1402" s="36" t="n"/>
      <c r="H1402" s="40" t="n"/>
      <c r="I1402" s="40" t="n"/>
      <c r="J1402" s="41">
        <f>IF(ISNUMBER(H1402),H1402,IF(AND(D1402="労務費",TRIM(E1402)&lt;&gt;""),IFERROR(INDEX('設定'!$G$12:$G$31,MATCH(TRIM(E1402),'設定'!$J$12:$J$31,0)),""),""))</f>
        <v/>
      </c>
      <c r="K1402" s="30">
        <f>IF(AND(ISNUMBER(F1402),ISNUMBER(J1402)),ROUND(F1402*J1402,0),IF(ISNUMBER(I1402),I1402,""))</f>
        <v/>
      </c>
      <c r="L1402" s="33" t="n"/>
      <c r="M1402" s="34">
        <f>IF(COUNTA(A1402:B1402,D1402:I1402,L1402)=0,"",IF(B1402="","案件番号がありません",IF(ISNA(MATCH(B1402,'案件'!$A$6:$A$105,0)),"案件シートに無い番号です",IF(NOT(OR(D1402="材料費",D1402="労務費",D1402="外注費",D1402="経費")),"費目を4つから選んでください",IF(K1402="",IF(AND(ISNUMBER(F1402),NOT(ISNUMBER(J1402))),IF(D1402="労務費","単価がありません（設定の作業者名と同じ書き方に）","単価がありません"),IF(AND(ISNUMBER(J1402),NOT(ISNUMBER(F1402))),"数量がありません","金額がありません")),IF(NOT(ISNUMBER(A1402)),"日付がありません（月別集計に入りません）",IF(AND(ISNUMBER(F1402),ISNUMBER(J1402),ISNUMBER(I1402)),"数量×単価を使いました（金額の欄は使っていません）","")))))))</f>
        <v/>
      </c>
      <c r="N1402" s="91">
        <f>IF(AND(B1402&lt;&gt;"",B1402='案件カード'!$C$3),COUNTIF($B$5:B1402,'案件カード'!$C$3),"")</f>
        <v/>
      </c>
      <c r="O1402" s="91">
        <f>IF(ISNUMBER(K1402),IF(B1402="",K1402,IF(AND(ISNUMBER(MATCH(B1402,'案件'!$A$6:$A$105,0)),OR(D1402="材料費",D1402="労務費",D1402="外注費",D1402="経費")),0,K1402)),0)</f>
        <v/>
      </c>
    </row>
    <row r="1403" ht="16" customHeight="1">
      <c r="A1403" s="35" t="n"/>
      <c r="B1403" s="36" t="n"/>
      <c r="C1403" s="37">
        <f>IF(B1403="","",IFERROR(INDEX('案件'!$B$6:$B$105,MATCH(B1403,'案件'!$A$6:$A$105,0))&amp;"","（案件シートに無い番号）"))</f>
        <v/>
      </c>
      <c r="D1403" s="36" t="n"/>
      <c r="E1403" s="38" t="n"/>
      <c r="F1403" s="39" t="n"/>
      <c r="G1403" s="36" t="n"/>
      <c r="H1403" s="40" t="n"/>
      <c r="I1403" s="40" t="n"/>
      <c r="J1403" s="41">
        <f>IF(ISNUMBER(H1403),H1403,IF(AND(D1403="労務費",TRIM(E1403)&lt;&gt;""),IFERROR(INDEX('設定'!$G$12:$G$31,MATCH(TRIM(E1403),'設定'!$J$12:$J$31,0)),""),""))</f>
        <v/>
      </c>
      <c r="K1403" s="30">
        <f>IF(AND(ISNUMBER(F1403),ISNUMBER(J1403)),ROUND(F1403*J1403,0),IF(ISNUMBER(I1403),I1403,""))</f>
        <v/>
      </c>
      <c r="L1403" s="33" t="n"/>
      <c r="M1403" s="34">
        <f>IF(COUNTA(A1403:B1403,D1403:I1403,L1403)=0,"",IF(B1403="","案件番号がありません",IF(ISNA(MATCH(B1403,'案件'!$A$6:$A$105,0)),"案件シートに無い番号です",IF(NOT(OR(D1403="材料費",D1403="労務費",D1403="外注費",D1403="経費")),"費目を4つから選んでください",IF(K1403="",IF(AND(ISNUMBER(F1403),NOT(ISNUMBER(J1403))),IF(D1403="労務費","単価がありません（設定の作業者名と同じ書き方に）","単価がありません"),IF(AND(ISNUMBER(J1403),NOT(ISNUMBER(F1403))),"数量がありません","金額がありません")),IF(NOT(ISNUMBER(A1403)),"日付がありません（月別集計に入りません）",IF(AND(ISNUMBER(F1403),ISNUMBER(J1403),ISNUMBER(I1403)),"数量×単価を使いました（金額の欄は使っていません）","")))))))</f>
        <v/>
      </c>
      <c r="N1403" s="91">
        <f>IF(AND(B1403&lt;&gt;"",B1403='案件カード'!$C$3),COUNTIF($B$5:B1403,'案件カード'!$C$3),"")</f>
        <v/>
      </c>
      <c r="O1403" s="91">
        <f>IF(ISNUMBER(K1403),IF(B1403="",K1403,IF(AND(ISNUMBER(MATCH(B1403,'案件'!$A$6:$A$105,0)),OR(D1403="材料費",D1403="労務費",D1403="外注費",D1403="経費")),0,K1403)),0)</f>
        <v/>
      </c>
    </row>
    <row r="1404" ht="16" customHeight="1">
      <c r="A1404" s="35" t="n"/>
      <c r="B1404" s="36" t="n"/>
      <c r="C1404" s="37">
        <f>IF(B1404="","",IFERROR(INDEX('案件'!$B$6:$B$105,MATCH(B1404,'案件'!$A$6:$A$105,0))&amp;"","（案件シートに無い番号）"))</f>
        <v/>
      </c>
      <c r="D1404" s="36" t="n"/>
      <c r="E1404" s="38" t="n"/>
      <c r="F1404" s="39" t="n"/>
      <c r="G1404" s="36" t="n"/>
      <c r="H1404" s="40" t="n"/>
      <c r="I1404" s="40" t="n"/>
      <c r="J1404" s="41">
        <f>IF(ISNUMBER(H1404),H1404,IF(AND(D1404="労務費",TRIM(E1404)&lt;&gt;""),IFERROR(INDEX('設定'!$G$12:$G$31,MATCH(TRIM(E1404),'設定'!$J$12:$J$31,0)),""),""))</f>
        <v/>
      </c>
      <c r="K1404" s="30">
        <f>IF(AND(ISNUMBER(F1404),ISNUMBER(J1404)),ROUND(F1404*J1404,0),IF(ISNUMBER(I1404),I1404,""))</f>
        <v/>
      </c>
      <c r="L1404" s="33" t="n"/>
      <c r="M1404" s="34">
        <f>IF(COUNTA(A1404:B1404,D1404:I1404,L1404)=0,"",IF(B1404="","案件番号がありません",IF(ISNA(MATCH(B1404,'案件'!$A$6:$A$105,0)),"案件シートに無い番号です",IF(NOT(OR(D1404="材料費",D1404="労務費",D1404="外注費",D1404="経費")),"費目を4つから選んでください",IF(K1404="",IF(AND(ISNUMBER(F1404),NOT(ISNUMBER(J1404))),IF(D1404="労務費","単価がありません（設定の作業者名と同じ書き方に）","単価がありません"),IF(AND(ISNUMBER(J1404),NOT(ISNUMBER(F1404))),"数量がありません","金額がありません")),IF(NOT(ISNUMBER(A1404)),"日付がありません（月別集計に入りません）",IF(AND(ISNUMBER(F1404),ISNUMBER(J1404),ISNUMBER(I1404)),"数量×単価を使いました（金額の欄は使っていません）","")))))))</f>
        <v/>
      </c>
      <c r="N1404" s="91">
        <f>IF(AND(B1404&lt;&gt;"",B1404='案件カード'!$C$3),COUNTIF($B$5:B1404,'案件カード'!$C$3),"")</f>
        <v/>
      </c>
      <c r="O1404" s="91">
        <f>IF(ISNUMBER(K1404),IF(B1404="",K1404,IF(AND(ISNUMBER(MATCH(B1404,'案件'!$A$6:$A$105,0)),OR(D1404="材料費",D1404="労務費",D1404="外注費",D1404="経費")),0,K1404)),0)</f>
        <v/>
      </c>
    </row>
    <row r="1405" ht="16" customHeight="1">
      <c r="A1405" s="35" t="n"/>
      <c r="B1405" s="36" t="n"/>
      <c r="C1405" s="37">
        <f>IF(B1405="","",IFERROR(INDEX('案件'!$B$6:$B$105,MATCH(B1405,'案件'!$A$6:$A$105,0))&amp;"","（案件シートに無い番号）"))</f>
        <v/>
      </c>
      <c r="D1405" s="36" t="n"/>
      <c r="E1405" s="38" t="n"/>
      <c r="F1405" s="39" t="n"/>
      <c r="G1405" s="36" t="n"/>
      <c r="H1405" s="40" t="n"/>
      <c r="I1405" s="40" t="n"/>
      <c r="J1405" s="41">
        <f>IF(ISNUMBER(H1405),H1405,IF(AND(D1405="労務費",TRIM(E1405)&lt;&gt;""),IFERROR(INDEX('設定'!$G$12:$G$31,MATCH(TRIM(E1405),'設定'!$J$12:$J$31,0)),""),""))</f>
        <v/>
      </c>
      <c r="K1405" s="30">
        <f>IF(AND(ISNUMBER(F1405),ISNUMBER(J1405)),ROUND(F1405*J1405,0),IF(ISNUMBER(I1405),I1405,""))</f>
        <v/>
      </c>
      <c r="L1405" s="33" t="n"/>
      <c r="M1405" s="34">
        <f>IF(COUNTA(A1405:B1405,D1405:I1405,L1405)=0,"",IF(B1405="","案件番号がありません",IF(ISNA(MATCH(B1405,'案件'!$A$6:$A$105,0)),"案件シートに無い番号です",IF(NOT(OR(D1405="材料費",D1405="労務費",D1405="外注費",D1405="経費")),"費目を4つから選んでください",IF(K1405="",IF(AND(ISNUMBER(F1405),NOT(ISNUMBER(J1405))),IF(D1405="労務費","単価がありません（設定の作業者名と同じ書き方に）","単価がありません"),IF(AND(ISNUMBER(J1405),NOT(ISNUMBER(F1405))),"数量がありません","金額がありません")),IF(NOT(ISNUMBER(A1405)),"日付がありません（月別集計に入りません）",IF(AND(ISNUMBER(F1405),ISNUMBER(J1405),ISNUMBER(I1405)),"数量×単価を使いました（金額の欄は使っていません）","")))))))</f>
        <v/>
      </c>
      <c r="N1405" s="91">
        <f>IF(AND(B1405&lt;&gt;"",B1405='案件カード'!$C$3),COUNTIF($B$5:B1405,'案件カード'!$C$3),"")</f>
        <v/>
      </c>
      <c r="O1405" s="91">
        <f>IF(ISNUMBER(K1405),IF(B1405="",K1405,IF(AND(ISNUMBER(MATCH(B1405,'案件'!$A$6:$A$105,0)),OR(D1405="材料費",D1405="労務費",D1405="外注費",D1405="経費")),0,K1405)),0)</f>
        <v/>
      </c>
    </row>
    <row r="1406" ht="16" customHeight="1">
      <c r="A1406" s="35" t="n"/>
      <c r="B1406" s="36" t="n"/>
      <c r="C1406" s="37">
        <f>IF(B1406="","",IFERROR(INDEX('案件'!$B$6:$B$105,MATCH(B1406,'案件'!$A$6:$A$105,0))&amp;"","（案件シートに無い番号）"))</f>
        <v/>
      </c>
      <c r="D1406" s="36" t="n"/>
      <c r="E1406" s="38" t="n"/>
      <c r="F1406" s="39" t="n"/>
      <c r="G1406" s="36" t="n"/>
      <c r="H1406" s="40" t="n"/>
      <c r="I1406" s="40" t="n"/>
      <c r="J1406" s="41">
        <f>IF(ISNUMBER(H1406),H1406,IF(AND(D1406="労務費",TRIM(E1406)&lt;&gt;""),IFERROR(INDEX('設定'!$G$12:$G$31,MATCH(TRIM(E1406),'設定'!$J$12:$J$31,0)),""),""))</f>
        <v/>
      </c>
      <c r="K1406" s="30">
        <f>IF(AND(ISNUMBER(F1406),ISNUMBER(J1406)),ROUND(F1406*J1406,0),IF(ISNUMBER(I1406),I1406,""))</f>
        <v/>
      </c>
      <c r="L1406" s="33" t="n"/>
      <c r="M1406" s="34">
        <f>IF(COUNTA(A1406:B1406,D1406:I1406,L1406)=0,"",IF(B1406="","案件番号がありません",IF(ISNA(MATCH(B1406,'案件'!$A$6:$A$105,0)),"案件シートに無い番号です",IF(NOT(OR(D1406="材料費",D1406="労務費",D1406="外注費",D1406="経費")),"費目を4つから選んでください",IF(K1406="",IF(AND(ISNUMBER(F1406),NOT(ISNUMBER(J1406))),IF(D1406="労務費","単価がありません（設定の作業者名と同じ書き方に）","単価がありません"),IF(AND(ISNUMBER(J1406),NOT(ISNUMBER(F1406))),"数量がありません","金額がありません")),IF(NOT(ISNUMBER(A1406)),"日付がありません（月別集計に入りません）",IF(AND(ISNUMBER(F1406),ISNUMBER(J1406),ISNUMBER(I1406)),"数量×単価を使いました（金額の欄は使っていません）","")))))))</f>
        <v/>
      </c>
      <c r="N1406" s="91">
        <f>IF(AND(B1406&lt;&gt;"",B1406='案件カード'!$C$3),COUNTIF($B$5:B1406,'案件カード'!$C$3),"")</f>
        <v/>
      </c>
      <c r="O1406" s="91">
        <f>IF(ISNUMBER(K1406),IF(B1406="",K1406,IF(AND(ISNUMBER(MATCH(B1406,'案件'!$A$6:$A$105,0)),OR(D1406="材料費",D1406="労務費",D1406="外注費",D1406="経費")),0,K1406)),0)</f>
        <v/>
      </c>
    </row>
    <row r="1407" ht="16" customHeight="1">
      <c r="A1407" s="35" t="n"/>
      <c r="B1407" s="36" t="n"/>
      <c r="C1407" s="37">
        <f>IF(B1407="","",IFERROR(INDEX('案件'!$B$6:$B$105,MATCH(B1407,'案件'!$A$6:$A$105,0))&amp;"","（案件シートに無い番号）"))</f>
        <v/>
      </c>
      <c r="D1407" s="36" t="n"/>
      <c r="E1407" s="38" t="n"/>
      <c r="F1407" s="39" t="n"/>
      <c r="G1407" s="36" t="n"/>
      <c r="H1407" s="40" t="n"/>
      <c r="I1407" s="40" t="n"/>
      <c r="J1407" s="41">
        <f>IF(ISNUMBER(H1407),H1407,IF(AND(D1407="労務費",TRIM(E1407)&lt;&gt;""),IFERROR(INDEX('設定'!$G$12:$G$31,MATCH(TRIM(E1407),'設定'!$J$12:$J$31,0)),""),""))</f>
        <v/>
      </c>
      <c r="K1407" s="30">
        <f>IF(AND(ISNUMBER(F1407),ISNUMBER(J1407)),ROUND(F1407*J1407,0),IF(ISNUMBER(I1407),I1407,""))</f>
        <v/>
      </c>
      <c r="L1407" s="33" t="n"/>
      <c r="M1407" s="34">
        <f>IF(COUNTA(A1407:B1407,D1407:I1407,L1407)=0,"",IF(B1407="","案件番号がありません",IF(ISNA(MATCH(B1407,'案件'!$A$6:$A$105,0)),"案件シートに無い番号です",IF(NOT(OR(D1407="材料費",D1407="労務費",D1407="外注費",D1407="経費")),"費目を4つから選んでください",IF(K1407="",IF(AND(ISNUMBER(F1407),NOT(ISNUMBER(J1407))),IF(D1407="労務費","単価がありません（設定の作業者名と同じ書き方に）","単価がありません"),IF(AND(ISNUMBER(J1407),NOT(ISNUMBER(F1407))),"数量がありません","金額がありません")),IF(NOT(ISNUMBER(A1407)),"日付がありません（月別集計に入りません）",IF(AND(ISNUMBER(F1407),ISNUMBER(J1407),ISNUMBER(I1407)),"数量×単価を使いました（金額の欄は使っていません）","")))))))</f>
        <v/>
      </c>
      <c r="N1407" s="91">
        <f>IF(AND(B1407&lt;&gt;"",B1407='案件カード'!$C$3),COUNTIF($B$5:B1407,'案件カード'!$C$3),"")</f>
        <v/>
      </c>
      <c r="O1407" s="91">
        <f>IF(ISNUMBER(K1407),IF(B1407="",K1407,IF(AND(ISNUMBER(MATCH(B1407,'案件'!$A$6:$A$105,0)),OR(D1407="材料費",D1407="労務費",D1407="外注費",D1407="経費")),0,K1407)),0)</f>
        <v/>
      </c>
    </row>
    <row r="1408" ht="16" customHeight="1">
      <c r="A1408" s="35" t="n"/>
      <c r="B1408" s="36" t="n"/>
      <c r="C1408" s="37">
        <f>IF(B1408="","",IFERROR(INDEX('案件'!$B$6:$B$105,MATCH(B1408,'案件'!$A$6:$A$105,0))&amp;"","（案件シートに無い番号）"))</f>
        <v/>
      </c>
      <c r="D1408" s="36" t="n"/>
      <c r="E1408" s="38" t="n"/>
      <c r="F1408" s="39" t="n"/>
      <c r="G1408" s="36" t="n"/>
      <c r="H1408" s="40" t="n"/>
      <c r="I1408" s="40" t="n"/>
      <c r="J1408" s="41">
        <f>IF(ISNUMBER(H1408),H1408,IF(AND(D1408="労務費",TRIM(E1408)&lt;&gt;""),IFERROR(INDEX('設定'!$G$12:$G$31,MATCH(TRIM(E1408),'設定'!$J$12:$J$31,0)),""),""))</f>
        <v/>
      </c>
      <c r="K1408" s="30">
        <f>IF(AND(ISNUMBER(F1408),ISNUMBER(J1408)),ROUND(F1408*J1408,0),IF(ISNUMBER(I1408),I1408,""))</f>
        <v/>
      </c>
      <c r="L1408" s="33" t="n"/>
      <c r="M1408" s="34">
        <f>IF(COUNTA(A1408:B1408,D1408:I1408,L1408)=0,"",IF(B1408="","案件番号がありません",IF(ISNA(MATCH(B1408,'案件'!$A$6:$A$105,0)),"案件シートに無い番号です",IF(NOT(OR(D1408="材料費",D1408="労務費",D1408="外注費",D1408="経費")),"費目を4つから選んでください",IF(K1408="",IF(AND(ISNUMBER(F1408),NOT(ISNUMBER(J1408))),IF(D1408="労務費","単価がありません（設定の作業者名と同じ書き方に）","単価がありません"),IF(AND(ISNUMBER(J1408),NOT(ISNUMBER(F1408))),"数量がありません","金額がありません")),IF(NOT(ISNUMBER(A1408)),"日付がありません（月別集計に入りません）",IF(AND(ISNUMBER(F1408),ISNUMBER(J1408),ISNUMBER(I1408)),"数量×単価を使いました（金額の欄は使っていません）","")))))))</f>
        <v/>
      </c>
      <c r="N1408" s="91">
        <f>IF(AND(B1408&lt;&gt;"",B1408='案件カード'!$C$3),COUNTIF($B$5:B1408,'案件カード'!$C$3),"")</f>
        <v/>
      </c>
      <c r="O1408" s="91">
        <f>IF(ISNUMBER(K1408),IF(B1408="",K1408,IF(AND(ISNUMBER(MATCH(B1408,'案件'!$A$6:$A$105,0)),OR(D1408="材料費",D1408="労務費",D1408="外注費",D1408="経費")),0,K1408)),0)</f>
        <v/>
      </c>
    </row>
    <row r="1409" ht="16" customHeight="1">
      <c r="A1409" s="35" t="n"/>
      <c r="B1409" s="36" t="n"/>
      <c r="C1409" s="37">
        <f>IF(B1409="","",IFERROR(INDEX('案件'!$B$6:$B$105,MATCH(B1409,'案件'!$A$6:$A$105,0))&amp;"","（案件シートに無い番号）"))</f>
        <v/>
      </c>
      <c r="D1409" s="36" t="n"/>
      <c r="E1409" s="38" t="n"/>
      <c r="F1409" s="39" t="n"/>
      <c r="G1409" s="36" t="n"/>
      <c r="H1409" s="40" t="n"/>
      <c r="I1409" s="40" t="n"/>
      <c r="J1409" s="41">
        <f>IF(ISNUMBER(H1409),H1409,IF(AND(D1409="労務費",TRIM(E1409)&lt;&gt;""),IFERROR(INDEX('設定'!$G$12:$G$31,MATCH(TRIM(E1409),'設定'!$J$12:$J$31,0)),""),""))</f>
        <v/>
      </c>
      <c r="K1409" s="30">
        <f>IF(AND(ISNUMBER(F1409),ISNUMBER(J1409)),ROUND(F1409*J1409,0),IF(ISNUMBER(I1409),I1409,""))</f>
        <v/>
      </c>
      <c r="L1409" s="33" t="n"/>
      <c r="M1409" s="34">
        <f>IF(COUNTA(A1409:B1409,D1409:I1409,L1409)=0,"",IF(B1409="","案件番号がありません",IF(ISNA(MATCH(B1409,'案件'!$A$6:$A$105,0)),"案件シートに無い番号です",IF(NOT(OR(D1409="材料費",D1409="労務費",D1409="外注費",D1409="経費")),"費目を4つから選んでください",IF(K1409="",IF(AND(ISNUMBER(F1409),NOT(ISNUMBER(J1409))),IF(D1409="労務費","単価がありません（設定の作業者名と同じ書き方に）","単価がありません"),IF(AND(ISNUMBER(J1409),NOT(ISNUMBER(F1409))),"数量がありません","金額がありません")),IF(NOT(ISNUMBER(A1409)),"日付がありません（月別集計に入りません）",IF(AND(ISNUMBER(F1409),ISNUMBER(J1409),ISNUMBER(I1409)),"数量×単価を使いました（金額の欄は使っていません）","")))))))</f>
        <v/>
      </c>
      <c r="N1409" s="91">
        <f>IF(AND(B1409&lt;&gt;"",B1409='案件カード'!$C$3),COUNTIF($B$5:B1409,'案件カード'!$C$3),"")</f>
        <v/>
      </c>
      <c r="O1409" s="91">
        <f>IF(ISNUMBER(K1409),IF(B1409="",K1409,IF(AND(ISNUMBER(MATCH(B1409,'案件'!$A$6:$A$105,0)),OR(D1409="材料費",D1409="労務費",D1409="外注費",D1409="経費")),0,K1409)),0)</f>
        <v/>
      </c>
    </row>
    <row r="1410" ht="16" customHeight="1">
      <c r="A1410" s="35" t="n"/>
      <c r="B1410" s="36" t="n"/>
      <c r="C1410" s="37">
        <f>IF(B1410="","",IFERROR(INDEX('案件'!$B$6:$B$105,MATCH(B1410,'案件'!$A$6:$A$105,0))&amp;"","（案件シートに無い番号）"))</f>
        <v/>
      </c>
      <c r="D1410" s="36" t="n"/>
      <c r="E1410" s="38" t="n"/>
      <c r="F1410" s="39" t="n"/>
      <c r="G1410" s="36" t="n"/>
      <c r="H1410" s="40" t="n"/>
      <c r="I1410" s="40" t="n"/>
      <c r="J1410" s="41">
        <f>IF(ISNUMBER(H1410),H1410,IF(AND(D1410="労務費",TRIM(E1410)&lt;&gt;""),IFERROR(INDEX('設定'!$G$12:$G$31,MATCH(TRIM(E1410),'設定'!$J$12:$J$31,0)),""),""))</f>
        <v/>
      </c>
      <c r="K1410" s="30">
        <f>IF(AND(ISNUMBER(F1410),ISNUMBER(J1410)),ROUND(F1410*J1410,0),IF(ISNUMBER(I1410),I1410,""))</f>
        <v/>
      </c>
      <c r="L1410" s="33" t="n"/>
      <c r="M1410" s="34">
        <f>IF(COUNTA(A1410:B1410,D1410:I1410,L1410)=0,"",IF(B1410="","案件番号がありません",IF(ISNA(MATCH(B1410,'案件'!$A$6:$A$105,0)),"案件シートに無い番号です",IF(NOT(OR(D1410="材料費",D1410="労務費",D1410="外注費",D1410="経費")),"費目を4つから選んでください",IF(K1410="",IF(AND(ISNUMBER(F1410),NOT(ISNUMBER(J1410))),IF(D1410="労務費","単価がありません（設定の作業者名と同じ書き方に）","単価がありません"),IF(AND(ISNUMBER(J1410),NOT(ISNUMBER(F1410))),"数量がありません","金額がありません")),IF(NOT(ISNUMBER(A1410)),"日付がありません（月別集計に入りません）",IF(AND(ISNUMBER(F1410),ISNUMBER(J1410),ISNUMBER(I1410)),"数量×単価を使いました（金額の欄は使っていません）","")))))))</f>
        <v/>
      </c>
      <c r="N1410" s="91">
        <f>IF(AND(B1410&lt;&gt;"",B1410='案件カード'!$C$3),COUNTIF($B$5:B1410,'案件カード'!$C$3),"")</f>
        <v/>
      </c>
      <c r="O1410" s="91">
        <f>IF(ISNUMBER(K1410),IF(B1410="",K1410,IF(AND(ISNUMBER(MATCH(B1410,'案件'!$A$6:$A$105,0)),OR(D1410="材料費",D1410="労務費",D1410="外注費",D1410="経費")),0,K1410)),0)</f>
        <v/>
      </c>
    </row>
    <row r="1411" ht="16" customHeight="1">
      <c r="A1411" s="35" t="n"/>
      <c r="B1411" s="36" t="n"/>
      <c r="C1411" s="37">
        <f>IF(B1411="","",IFERROR(INDEX('案件'!$B$6:$B$105,MATCH(B1411,'案件'!$A$6:$A$105,0))&amp;"","（案件シートに無い番号）"))</f>
        <v/>
      </c>
      <c r="D1411" s="36" t="n"/>
      <c r="E1411" s="38" t="n"/>
      <c r="F1411" s="39" t="n"/>
      <c r="G1411" s="36" t="n"/>
      <c r="H1411" s="40" t="n"/>
      <c r="I1411" s="40" t="n"/>
      <c r="J1411" s="41">
        <f>IF(ISNUMBER(H1411),H1411,IF(AND(D1411="労務費",TRIM(E1411)&lt;&gt;""),IFERROR(INDEX('設定'!$G$12:$G$31,MATCH(TRIM(E1411),'設定'!$J$12:$J$31,0)),""),""))</f>
        <v/>
      </c>
      <c r="K1411" s="30">
        <f>IF(AND(ISNUMBER(F1411),ISNUMBER(J1411)),ROUND(F1411*J1411,0),IF(ISNUMBER(I1411),I1411,""))</f>
        <v/>
      </c>
      <c r="L1411" s="33" t="n"/>
      <c r="M1411" s="34">
        <f>IF(COUNTA(A1411:B1411,D1411:I1411,L1411)=0,"",IF(B1411="","案件番号がありません",IF(ISNA(MATCH(B1411,'案件'!$A$6:$A$105,0)),"案件シートに無い番号です",IF(NOT(OR(D1411="材料費",D1411="労務費",D1411="外注費",D1411="経費")),"費目を4つから選んでください",IF(K1411="",IF(AND(ISNUMBER(F1411),NOT(ISNUMBER(J1411))),IF(D1411="労務費","単価がありません（設定の作業者名と同じ書き方に）","単価がありません"),IF(AND(ISNUMBER(J1411),NOT(ISNUMBER(F1411))),"数量がありません","金額がありません")),IF(NOT(ISNUMBER(A1411)),"日付がありません（月別集計に入りません）",IF(AND(ISNUMBER(F1411),ISNUMBER(J1411),ISNUMBER(I1411)),"数量×単価を使いました（金額の欄は使っていません）","")))))))</f>
        <v/>
      </c>
      <c r="N1411" s="91">
        <f>IF(AND(B1411&lt;&gt;"",B1411='案件カード'!$C$3),COUNTIF($B$5:B1411,'案件カード'!$C$3),"")</f>
        <v/>
      </c>
      <c r="O1411" s="91">
        <f>IF(ISNUMBER(K1411),IF(B1411="",K1411,IF(AND(ISNUMBER(MATCH(B1411,'案件'!$A$6:$A$105,0)),OR(D1411="材料費",D1411="労務費",D1411="外注費",D1411="経費")),0,K1411)),0)</f>
        <v/>
      </c>
    </row>
    <row r="1412" ht="16" customHeight="1">
      <c r="A1412" s="35" t="n"/>
      <c r="B1412" s="36" t="n"/>
      <c r="C1412" s="37">
        <f>IF(B1412="","",IFERROR(INDEX('案件'!$B$6:$B$105,MATCH(B1412,'案件'!$A$6:$A$105,0))&amp;"","（案件シートに無い番号）"))</f>
        <v/>
      </c>
      <c r="D1412" s="36" t="n"/>
      <c r="E1412" s="38" t="n"/>
      <c r="F1412" s="39" t="n"/>
      <c r="G1412" s="36" t="n"/>
      <c r="H1412" s="40" t="n"/>
      <c r="I1412" s="40" t="n"/>
      <c r="J1412" s="41">
        <f>IF(ISNUMBER(H1412),H1412,IF(AND(D1412="労務費",TRIM(E1412)&lt;&gt;""),IFERROR(INDEX('設定'!$G$12:$G$31,MATCH(TRIM(E1412),'設定'!$J$12:$J$31,0)),""),""))</f>
        <v/>
      </c>
      <c r="K1412" s="30">
        <f>IF(AND(ISNUMBER(F1412),ISNUMBER(J1412)),ROUND(F1412*J1412,0),IF(ISNUMBER(I1412),I1412,""))</f>
        <v/>
      </c>
      <c r="L1412" s="33" t="n"/>
      <c r="M1412" s="34">
        <f>IF(COUNTA(A1412:B1412,D1412:I1412,L1412)=0,"",IF(B1412="","案件番号がありません",IF(ISNA(MATCH(B1412,'案件'!$A$6:$A$105,0)),"案件シートに無い番号です",IF(NOT(OR(D1412="材料費",D1412="労務費",D1412="外注費",D1412="経費")),"費目を4つから選んでください",IF(K1412="",IF(AND(ISNUMBER(F1412),NOT(ISNUMBER(J1412))),IF(D1412="労務費","単価がありません（設定の作業者名と同じ書き方に）","単価がありません"),IF(AND(ISNUMBER(J1412),NOT(ISNUMBER(F1412))),"数量がありません","金額がありません")),IF(NOT(ISNUMBER(A1412)),"日付がありません（月別集計に入りません）",IF(AND(ISNUMBER(F1412),ISNUMBER(J1412),ISNUMBER(I1412)),"数量×単価を使いました（金額の欄は使っていません）","")))))))</f>
        <v/>
      </c>
      <c r="N1412" s="91">
        <f>IF(AND(B1412&lt;&gt;"",B1412='案件カード'!$C$3),COUNTIF($B$5:B1412,'案件カード'!$C$3),"")</f>
        <v/>
      </c>
      <c r="O1412" s="91">
        <f>IF(ISNUMBER(K1412),IF(B1412="",K1412,IF(AND(ISNUMBER(MATCH(B1412,'案件'!$A$6:$A$105,0)),OR(D1412="材料費",D1412="労務費",D1412="外注費",D1412="経費")),0,K1412)),0)</f>
        <v/>
      </c>
    </row>
    <row r="1413" ht="16" customHeight="1">
      <c r="A1413" s="35" t="n"/>
      <c r="B1413" s="36" t="n"/>
      <c r="C1413" s="37">
        <f>IF(B1413="","",IFERROR(INDEX('案件'!$B$6:$B$105,MATCH(B1413,'案件'!$A$6:$A$105,0))&amp;"","（案件シートに無い番号）"))</f>
        <v/>
      </c>
      <c r="D1413" s="36" t="n"/>
      <c r="E1413" s="38" t="n"/>
      <c r="F1413" s="39" t="n"/>
      <c r="G1413" s="36" t="n"/>
      <c r="H1413" s="40" t="n"/>
      <c r="I1413" s="40" t="n"/>
      <c r="J1413" s="41">
        <f>IF(ISNUMBER(H1413),H1413,IF(AND(D1413="労務費",TRIM(E1413)&lt;&gt;""),IFERROR(INDEX('設定'!$G$12:$G$31,MATCH(TRIM(E1413),'設定'!$J$12:$J$31,0)),""),""))</f>
        <v/>
      </c>
      <c r="K1413" s="30">
        <f>IF(AND(ISNUMBER(F1413),ISNUMBER(J1413)),ROUND(F1413*J1413,0),IF(ISNUMBER(I1413),I1413,""))</f>
        <v/>
      </c>
      <c r="L1413" s="33" t="n"/>
      <c r="M1413" s="34">
        <f>IF(COUNTA(A1413:B1413,D1413:I1413,L1413)=0,"",IF(B1413="","案件番号がありません",IF(ISNA(MATCH(B1413,'案件'!$A$6:$A$105,0)),"案件シートに無い番号です",IF(NOT(OR(D1413="材料費",D1413="労務費",D1413="外注費",D1413="経費")),"費目を4つから選んでください",IF(K1413="",IF(AND(ISNUMBER(F1413),NOT(ISNUMBER(J1413))),IF(D1413="労務費","単価がありません（設定の作業者名と同じ書き方に）","単価がありません"),IF(AND(ISNUMBER(J1413),NOT(ISNUMBER(F1413))),"数量がありません","金額がありません")),IF(NOT(ISNUMBER(A1413)),"日付がありません（月別集計に入りません）",IF(AND(ISNUMBER(F1413),ISNUMBER(J1413),ISNUMBER(I1413)),"数量×単価を使いました（金額の欄は使っていません）","")))))))</f>
        <v/>
      </c>
      <c r="N1413" s="91">
        <f>IF(AND(B1413&lt;&gt;"",B1413='案件カード'!$C$3),COUNTIF($B$5:B1413,'案件カード'!$C$3),"")</f>
        <v/>
      </c>
      <c r="O1413" s="91">
        <f>IF(ISNUMBER(K1413),IF(B1413="",K1413,IF(AND(ISNUMBER(MATCH(B1413,'案件'!$A$6:$A$105,0)),OR(D1413="材料費",D1413="労務費",D1413="外注費",D1413="経費")),0,K1413)),0)</f>
        <v/>
      </c>
    </row>
    <row r="1414" ht="16" customHeight="1">
      <c r="A1414" s="35" t="n"/>
      <c r="B1414" s="36" t="n"/>
      <c r="C1414" s="37">
        <f>IF(B1414="","",IFERROR(INDEX('案件'!$B$6:$B$105,MATCH(B1414,'案件'!$A$6:$A$105,0))&amp;"","（案件シートに無い番号）"))</f>
        <v/>
      </c>
      <c r="D1414" s="36" t="n"/>
      <c r="E1414" s="38" t="n"/>
      <c r="F1414" s="39" t="n"/>
      <c r="G1414" s="36" t="n"/>
      <c r="H1414" s="40" t="n"/>
      <c r="I1414" s="40" t="n"/>
      <c r="J1414" s="41">
        <f>IF(ISNUMBER(H1414),H1414,IF(AND(D1414="労務費",TRIM(E1414)&lt;&gt;""),IFERROR(INDEX('設定'!$G$12:$G$31,MATCH(TRIM(E1414),'設定'!$J$12:$J$31,0)),""),""))</f>
        <v/>
      </c>
      <c r="K1414" s="30">
        <f>IF(AND(ISNUMBER(F1414),ISNUMBER(J1414)),ROUND(F1414*J1414,0),IF(ISNUMBER(I1414),I1414,""))</f>
        <v/>
      </c>
      <c r="L1414" s="33" t="n"/>
      <c r="M1414" s="34">
        <f>IF(COUNTA(A1414:B1414,D1414:I1414,L1414)=0,"",IF(B1414="","案件番号がありません",IF(ISNA(MATCH(B1414,'案件'!$A$6:$A$105,0)),"案件シートに無い番号です",IF(NOT(OR(D1414="材料費",D1414="労務費",D1414="外注費",D1414="経費")),"費目を4つから選んでください",IF(K1414="",IF(AND(ISNUMBER(F1414),NOT(ISNUMBER(J1414))),IF(D1414="労務費","単価がありません（設定の作業者名と同じ書き方に）","単価がありません"),IF(AND(ISNUMBER(J1414),NOT(ISNUMBER(F1414))),"数量がありません","金額がありません")),IF(NOT(ISNUMBER(A1414)),"日付がありません（月別集計に入りません）",IF(AND(ISNUMBER(F1414),ISNUMBER(J1414),ISNUMBER(I1414)),"数量×単価を使いました（金額の欄は使っていません）","")))))))</f>
        <v/>
      </c>
      <c r="N1414" s="91">
        <f>IF(AND(B1414&lt;&gt;"",B1414='案件カード'!$C$3),COUNTIF($B$5:B1414,'案件カード'!$C$3),"")</f>
        <v/>
      </c>
      <c r="O1414" s="91">
        <f>IF(ISNUMBER(K1414),IF(B1414="",K1414,IF(AND(ISNUMBER(MATCH(B1414,'案件'!$A$6:$A$105,0)),OR(D1414="材料費",D1414="労務費",D1414="外注費",D1414="経費")),0,K1414)),0)</f>
        <v/>
      </c>
    </row>
    <row r="1415" ht="16" customHeight="1">
      <c r="A1415" s="35" t="n"/>
      <c r="B1415" s="36" t="n"/>
      <c r="C1415" s="37">
        <f>IF(B1415="","",IFERROR(INDEX('案件'!$B$6:$B$105,MATCH(B1415,'案件'!$A$6:$A$105,0))&amp;"","（案件シートに無い番号）"))</f>
        <v/>
      </c>
      <c r="D1415" s="36" t="n"/>
      <c r="E1415" s="38" t="n"/>
      <c r="F1415" s="39" t="n"/>
      <c r="G1415" s="36" t="n"/>
      <c r="H1415" s="40" t="n"/>
      <c r="I1415" s="40" t="n"/>
      <c r="J1415" s="41">
        <f>IF(ISNUMBER(H1415),H1415,IF(AND(D1415="労務費",TRIM(E1415)&lt;&gt;""),IFERROR(INDEX('設定'!$G$12:$G$31,MATCH(TRIM(E1415),'設定'!$J$12:$J$31,0)),""),""))</f>
        <v/>
      </c>
      <c r="K1415" s="30">
        <f>IF(AND(ISNUMBER(F1415),ISNUMBER(J1415)),ROUND(F1415*J1415,0),IF(ISNUMBER(I1415),I1415,""))</f>
        <v/>
      </c>
      <c r="L1415" s="33" t="n"/>
      <c r="M1415" s="34">
        <f>IF(COUNTA(A1415:B1415,D1415:I1415,L1415)=0,"",IF(B1415="","案件番号がありません",IF(ISNA(MATCH(B1415,'案件'!$A$6:$A$105,0)),"案件シートに無い番号です",IF(NOT(OR(D1415="材料費",D1415="労務費",D1415="外注費",D1415="経費")),"費目を4つから選んでください",IF(K1415="",IF(AND(ISNUMBER(F1415),NOT(ISNUMBER(J1415))),IF(D1415="労務費","単価がありません（設定の作業者名と同じ書き方に）","単価がありません"),IF(AND(ISNUMBER(J1415),NOT(ISNUMBER(F1415))),"数量がありません","金額がありません")),IF(NOT(ISNUMBER(A1415)),"日付がありません（月別集計に入りません）",IF(AND(ISNUMBER(F1415),ISNUMBER(J1415),ISNUMBER(I1415)),"数量×単価を使いました（金額の欄は使っていません）","")))))))</f>
        <v/>
      </c>
      <c r="N1415" s="91">
        <f>IF(AND(B1415&lt;&gt;"",B1415='案件カード'!$C$3),COUNTIF($B$5:B1415,'案件カード'!$C$3),"")</f>
        <v/>
      </c>
      <c r="O1415" s="91">
        <f>IF(ISNUMBER(K1415),IF(B1415="",K1415,IF(AND(ISNUMBER(MATCH(B1415,'案件'!$A$6:$A$105,0)),OR(D1415="材料費",D1415="労務費",D1415="外注費",D1415="経費")),0,K1415)),0)</f>
        <v/>
      </c>
    </row>
    <row r="1416" ht="16" customHeight="1">
      <c r="A1416" s="35" t="n"/>
      <c r="B1416" s="36" t="n"/>
      <c r="C1416" s="37">
        <f>IF(B1416="","",IFERROR(INDEX('案件'!$B$6:$B$105,MATCH(B1416,'案件'!$A$6:$A$105,0))&amp;"","（案件シートに無い番号）"))</f>
        <v/>
      </c>
      <c r="D1416" s="36" t="n"/>
      <c r="E1416" s="38" t="n"/>
      <c r="F1416" s="39" t="n"/>
      <c r="G1416" s="36" t="n"/>
      <c r="H1416" s="40" t="n"/>
      <c r="I1416" s="40" t="n"/>
      <c r="J1416" s="41">
        <f>IF(ISNUMBER(H1416),H1416,IF(AND(D1416="労務費",TRIM(E1416)&lt;&gt;""),IFERROR(INDEX('設定'!$G$12:$G$31,MATCH(TRIM(E1416),'設定'!$J$12:$J$31,0)),""),""))</f>
        <v/>
      </c>
      <c r="K1416" s="30">
        <f>IF(AND(ISNUMBER(F1416),ISNUMBER(J1416)),ROUND(F1416*J1416,0),IF(ISNUMBER(I1416),I1416,""))</f>
        <v/>
      </c>
      <c r="L1416" s="33" t="n"/>
      <c r="M1416" s="34">
        <f>IF(COUNTA(A1416:B1416,D1416:I1416,L1416)=0,"",IF(B1416="","案件番号がありません",IF(ISNA(MATCH(B1416,'案件'!$A$6:$A$105,0)),"案件シートに無い番号です",IF(NOT(OR(D1416="材料費",D1416="労務費",D1416="外注費",D1416="経費")),"費目を4つから選んでください",IF(K1416="",IF(AND(ISNUMBER(F1416),NOT(ISNUMBER(J1416))),IF(D1416="労務費","単価がありません（設定の作業者名と同じ書き方に）","単価がありません"),IF(AND(ISNUMBER(J1416),NOT(ISNUMBER(F1416))),"数量がありません","金額がありません")),IF(NOT(ISNUMBER(A1416)),"日付がありません（月別集計に入りません）",IF(AND(ISNUMBER(F1416),ISNUMBER(J1416),ISNUMBER(I1416)),"数量×単価を使いました（金額の欄は使っていません）","")))))))</f>
        <v/>
      </c>
      <c r="N1416" s="91">
        <f>IF(AND(B1416&lt;&gt;"",B1416='案件カード'!$C$3),COUNTIF($B$5:B1416,'案件カード'!$C$3),"")</f>
        <v/>
      </c>
      <c r="O1416" s="91">
        <f>IF(ISNUMBER(K1416),IF(B1416="",K1416,IF(AND(ISNUMBER(MATCH(B1416,'案件'!$A$6:$A$105,0)),OR(D1416="材料費",D1416="労務費",D1416="外注費",D1416="経費")),0,K1416)),0)</f>
        <v/>
      </c>
    </row>
    <row r="1417" ht="16" customHeight="1">
      <c r="A1417" s="35" t="n"/>
      <c r="B1417" s="36" t="n"/>
      <c r="C1417" s="37">
        <f>IF(B1417="","",IFERROR(INDEX('案件'!$B$6:$B$105,MATCH(B1417,'案件'!$A$6:$A$105,0))&amp;"","（案件シートに無い番号）"))</f>
        <v/>
      </c>
      <c r="D1417" s="36" t="n"/>
      <c r="E1417" s="38" t="n"/>
      <c r="F1417" s="39" t="n"/>
      <c r="G1417" s="36" t="n"/>
      <c r="H1417" s="40" t="n"/>
      <c r="I1417" s="40" t="n"/>
      <c r="J1417" s="41">
        <f>IF(ISNUMBER(H1417),H1417,IF(AND(D1417="労務費",TRIM(E1417)&lt;&gt;""),IFERROR(INDEX('設定'!$G$12:$G$31,MATCH(TRIM(E1417),'設定'!$J$12:$J$31,0)),""),""))</f>
        <v/>
      </c>
      <c r="K1417" s="30">
        <f>IF(AND(ISNUMBER(F1417),ISNUMBER(J1417)),ROUND(F1417*J1417,0),IF(ISNUMBER(I1417),I1417,""))</f>
        <v/>
      </c>
      <c r="L1417" s="33" t="n"/>
      <c r="M1417" s="34">
        <f>IF(COUNTA(A1417:B1417,D1417:I1417,L1417)=0,"",IF(B1417="","案件番号がありません",IF(ISNA(MATCH(B1417,'案件'!$A$6:$A$105,0)),"案件シートに無い番号です",IF(NOT(OR(D1417="材料費",D1417="労務費",D1417="外注費",D1417="経費")),"費目を4つから選んでください",IF(K1417="",IF(AND(ISNUMBER(F1417),NOT(ISNUMBER(J1417))),IF(D1417="労務費","単価がありません（設定の作業者名と同じ書き方に）","単価がありません"),IF(AND(ISNUMBER(J1417),NOT(ISNUMBER(F1417))),"数量がありません","金額がありません")),IF(NOT(ISNUMBER(A1417)),"日付がありません（月別集計に入りません）",IF(AND(ISNUMBER(F1417),ISNUMBER(J1417),ISNUMBER(I1417)),"数量×単価を使いました（金額の欄は使っていません）","")))))))</f>
        <v/>
      </c>
      <c r="N1417" s="91">
        <f>IF(AND(B1417&lt;&gt;"",B1417='案件カード'!$C$3),COUNTIF($B$5:B1417,'案件カード'!$C$3),"")</f>
        <v/>
      </c>
      <c r="O1417" s="91">
        <f>IF(ISNUMBER(K1417),IF(B1417="",K1417,IF(AND(ISNUMBER(MATCH(B1417,'案件'!$A$6:$A$105,0)),OR(D1417="材料費",D1417="労務費",D1417="外注費",D1417="経費")),0,K1417)),0)</f>
        <v/>
      </c>
    </row>
    <row r="1418" ht="16" customHeight="1">
      <c r="A1418" s="35" t="n"/>
      <c r="B1418" s="36" t="n"/>
      <c r="C1418" s="37">
        <f>IF(B1418="","",IFERROR(INDEX('案件'!$B$6:$B$105,MATCH(B1418,'案件'!$A$6:$A$105,0))&amp;"","（案件シートに無い番号）"))</f>
        <v/>
      </c>
      <c r="D1418" s="36" t="n"/>
      <c r="E1418" s="38" t="n"/>
      <c r="F1418" s="39" t="n"/>
      <c r="G1418" s="36" t="n"/>
      <c r="H1418" s="40" t="n"/>
      <c r="I1418" s="40" t="n"/>
      <c r="J1418" s="41">
        <f>IF(ISNUMBER(H1418),H1418,IF(AND(D1418="労務費",TRIM(E1418)&lt;&gt;""),IFERROR(INDEX('設定'!$G$12:$G$31,MATCH(TRIM(E1418),'設定'!$J$12:$J$31,0)),""),""))</f>
        <v/>
      </c>
      <c r="K1418" s="30">
        <f>IF(AND(ISNUMBER(F1418),ISNUMBER(J1418)),ROUND(F1418*J1418,0),IF(ISNUMBER(I1418),I1418,""))</f>
        <v/>
      </c>
      <c r="L1418" s="33" t="n"/>
      <c r="M1418" s="34">
        <f>IF(COUNTA(A1418:B1418,D1418:I1418,L1418)=0,"",IF(B1418="","案件番号がありません",IF(ISNA(MATCH(B1418,'案件'!$A$6:$A$105,0)),"案件シートに無い番号です",IF(NOT(OR(D1418="材料費",D1418="労務費",D1418="外注費",D1418="経費")),"費目を4つから選んでください",IF(K1418="",IF(AND(ISNUMBER(F1418),NOT(ISNUMBER(J1418))),IF(D1418="労務費","単価がありません（設定の作業者名と同じ書き方に）","単価がありません"),IF(AND(ISNUMBER(J1418),NOT(ISNUMBER(F1418))),"数量がありません","金額がありません")),IF(NOT(ISNUMBER(A1418)),"日付がありません（月別集計に入りません）",IF(AND(ISNUMBER(F1418),ISNUMBER(J1418),ISNUMBER(I1418)),"数量×単価を使いました（金額の欄は使っていません）","")))))))</f>
        <v/>
      </c>
      <c r="N1418" s="91">
        <f>IF(AND(B1418&lt;&gt;"",B1418='案件カード'!$C$3),COUNTIF($B$5:B1418,'案件カード'!$C$3),"")</f>
        <v/>
      </c>
      <c r="O1418" s="91">
        <f>IF(ISNUMBER(K1418),IF(B1418="",K1418,IF(AND(ISNUMBER(MATCH(B1418,'案件'!$A$6:$A$105,0)),OR(D1418="材料費",D1418="労務費",D1418="外注費",D1418="経費")),0,K1418)),0)</f>
        <v/>
      </c>
    </row>
    <row r="1419" ht="16" customHeight="1">
      <c r="A1419" s="35" t="n"/>
      <c r="B1419" s="36" t="n"/>
      <c r="C1419" s="37">
        <f>IF(B1419="","",IFERROR(INDEX('案件'!$B$6:$B$105,MATCH(B1419,'案件'!$A$6:$A$105,0))&amp;"","（案件シートに無い番号）"))</f>
        <v/>
      </c>
      <c r="D1419" s="36" t="n"/>
      <c r="E1419" s="38" t="n"/>
      <c r="F1419" s="39" t="n"/>
      <c r="G1419" s="36" t="n"/>
      <c r="H1419" s="40" t="n"/>
      <c r="I1419" s="40" t="n"/>
      <c r="J1419" s="41">
        <f>IF(ISNUMBER(H1419),H1419,IF(AND(D1419="労務費",TRIM(E1419)&lt;&gt;""),IFERROR(INDEX('設定'!$G$12:$G$31,MATCH(TRIM(E1419),'設定'!$J$12:$J$31,0)),""),""))</f>
        <v/>
      </c>
      <c r="K1419" s="30">
        <f>IF(AND(ISNUMBER(F1419),ISNUMBER(J1419)),ROUND(F1419*J1419,0),IF(ISNUMBER(I1419),I1419,""))</f>
        <v/>
      </c>
      <c r="L1419" s="33" t="n"/>
      <c r="M1419" s="34">
        <f>IF(COUNTA(A1419:B1419,D1419:I1419,L1419)=0,"",IF(B1419="","案件番号がありません",IF(ISNA(MATCH(B1419,'案件'!$A$6:$A$105,0)),"案件シートに無い番号です",IF(NOT(OR(D1419="材料費",D1419="労務費",D1419="外注費",D1419="経費")),"費目を4つから選んでください",IF(K1419="",IF(AND(ISNUMBER(F1419),NOT(ISNUMBER(J1419))),IF(D1419="労務費","単価がありません（設定の作業者名と同じ書き方に）","単価がありません"),IF(AND(ISNUMBER(J1419),NOT(ISNUMBER(F1419))),"数量がありません","金額がありません")),IF(NOT(ISNUMBER(A1419)),"日付がありません（月別集計に入りません）",IF(AND(ISNUMBER(F1419),ISNUMBER(J1419),ISNUMBER(I1419)),"数量×単価を使いました（金額の欄は使っていません）","")))))))</f>
        <v/>
      </c>
      <c r="N1419" s="91">
        <f>IF(AND(B1419&lt;&gt;"",B1419='案件カード'!$C$3),COUNTIF($B$5:B1419,'案件カード'!$C$3),"")</f>
        <v/>
      </c>
      <c r="O1419" s="91">
        <f>IF(ISNUMBER(K1419),IF(B1419="",K1419,IF(AND(ISNUMBER(MATCH(B1419,'案件'!$A$6:$A$105,0)),OR(D1419="材料費",D1419="労務費",D1419="外注費",D1419="経費")),0,K1419)),0)</f>
        <v/>
      </c>
    </row>
    <row r="1420" ht="16" customHeight="1">
      <c r="A1420" s="35" t="n"/>
      <c r="B1420" s="36" t="n"/>
      <c r="C1420" s="37">
        <f>IF(B1420="","",IFERROR(INDEX('案件'!$B$6:$B$105,MATCH(B1420,'案件'!$A$6:$A$105,0))&amp;"","（案件シートに無い番号）"))</f>
        <v/>
      </c>
      <c r="D1420" s="36" t="n"/>
      <c r="E1420" s="38" t="n"/>
      <c r="F1420" s="39" t="n"/>
      <c r="G1420" s="36" t="n"/>
      <c r="H1420" s="40" t="n"/>
      <c r="I1420" s="40" t="n"/>
      <c r="J1420" s="41">
        <f>IF(ISNUMBER(H1420),H1420,IF(AND(D1420="労務費",TRIM(E1420)&lt;&gt;""),IFERROR(INDEX('設定'!$G$12:$G$31,MATCH(TRIM(E1420),'設定'!$J$12:$J$31,0)),""),""))</f>
        <v/>
      </c>
      <c r="K1420" s="30">
        <f>IF(AND(ISNUMBER(F1420),ISNUMBER(J1420)),ROUND(F1420*J1420,0),IF(ISNUMBER(I1420),I1420,""))</f>
        <v/>
      </c>
      <c r="L1420" s="33" t="n"/>
      <c r="M1420" s="34">
        <f>IF(COUNTA(A1420:B1420,D1420:I1420,L1420)=0,"",IF(B1420="","案件番号がありません",IF(ISNA(MATCH(B1420,'案件'!$A$6:$A$105,0)),"案件シートに無い番号です",IF(NOT(OR(D1420="材料費",D1420="労務費",D1420="外注費",D1420="経費")),"費目を4つから選んでください",IF(K1420="",IF(AND(ISNUMBER(F1420),NOT(ISNUMBER(J1420))),IF(D1420="労務費","単価がありません（設定の作業者名と同じ書き方に）","単価がありません"),IF(AND(ISNUMBER(J1420),NOT(ISNUMBER(F1420))),"数量がありません","金額がありません")),IF(NOT(ISNUMBER(A1420)),"日付がありません（月別集計に入りません）",IF(AND(ISNUMBER(F1420),ISNUMBER(J1420),ISNUMBER(I1420)),"数量×単価を使いました（金額の欄は使っていません）","")))))))</f>
        <v/>
      </c>
      <c r="N1420" s="91">
        <f>IF(AND(B1420&lt;&gt;"",B1420='案件カード'!$C$3),COUNTIF($B$5:B1420,'案件カード'!$C$3),"")</f>
        <v/>
      </c>
      <c r="O1420" s="91">
        <f>IF(ISNUMBER(K1420),IF(B1420="",K1420,IF(AND(ISNUMBER(MATCH(B1420,'案件'!$A$6:$A$105,0)),OR(D1420="材料費",D1420="労務費",D1420="外注費",D1420="経費")),0,K1420)),0)</f>
        <v/>
      </c>
    </row>
    <row r="1421" ht="16" customHeight="1">
      <c r="A1421" s="35" t="n"/>
      <c r="B1421" s="36" t="n"/>
      <c r="C1421" s="37">
        <f>IF(B1421="","",IFERROR(INDEX('案件'!$B$6:$B$105,MATCH(B1421,'案件'!$A$6:$A$105,0))&amp;"","（案件シートに無い番号）"))</f>
        <v/>
      </c>
      <c r="D1421" s="36" t="n"/>
      <c r="E1421" s="38" t="n"/>
      <c r="F1421" s="39" t="n"/>
      <c r="G1421" s="36" t="n"/>
      <c r="H1421" s="40" t="n"/>
      <c r="I1421" s="40" t="n"/>
      <c r="J1421" s="41">
        <f>IF(ISNUMBER(H1421),H1421,IF(AND(D1421="労務費",TRIM(E1421)&lt;&gt;""),IFERROR(INDEX('設定'!$G$12:$G$31,MATCH(TRIM(E1421),'設定'!$J$12:$J$31,0)),""),""))</f>
        <v/>
      </c>
      <c r="K1421" s="30">
        <f>IF(AND(ISNUMBER(F1421),ISNUMBER(J1421)),ROUND(F1421*J1421,0),IF(ISNUMBER(I1421),I1421,""))</f>
        <v/>
      </c>
      <c r="L1421" s="33" t="n"/>
      <c r="M1421" s="34">
        <f>IF(COUNTA(A1421:B1421,D1421:I1421,L1421)=0,"",IF(B1421="","案件番号がありません",IF(ISNA(MATCH(B1421,'案件'!$A$6:$A$105,0)),"案件シートに無い番号です",IF(NOT(OR(D1421="材料費",D1421="労務費",D1421="外注費",D1421="経費")),"費目を4つから選んでください",IF(K1421="",IF(AND(ISNUMBER(F1421),NOT(ISNUMBER(J1421))),IF(D1421="労務費","単価がありません（設定の作業者名と同じ書き方に）","単価がありません"),IF(AND(ISNUMBER(J1421),NOT(ISNUMBER(F1421))),"数量がありません","金額がありません")),IF(NOT(ISNUMBER(A1421)),"日付がありません（月別集計に入りません）",IF(AND(ISNUMBER(F1421),ISNUMBER(J1421),ISNUMBER(I1421)),"数量×単価を使いました（金額の欄は使っていません）","")))))))</f>
        <v/>
      </c>
      <c r="N1421" s="91">
        <f>IF(AND(B1421&lt;&gt;"",B1421='案件カード'!$C$3),COUNTIF($B$5:B1421,'案件カード'!$C$3),"")</f>
        <v/>
      </c>
      <c r="O1421" s="91">
        <f>IF(ISNUMBER(K1421),IF(B1421="",K1421,IF(AND(ISNUMBER(MATCH(B1421,'案件'!$A$6:$A$105,0)),OR(D1421="材料費",D1421="労務費",D1421="外注費",D1421="経費")),0,K1421)),0)</f>
        <v/>
      </c>
    </row>
    <row r="1422" ht="16" customHeight="1">
      <c r="A1422" s="35" t="n"/>
      <c r="B1422" s="36" t="n"/>
      <c r="C1422" s="37">
        <f>IF(B1422="","",IFERROR(INDEX('案件'!$B$6:$B$105,MATCH(B1422,'案件'!$A$6:$A$105,0))&amp;"","（案件シートに無い番号）"))</f>
        <v/>
      </c>
      <c r="D1422" s="36" t="n"/>
      <c r="E1422" s="38" t="n"/>
      <c r="F1422" s="39" t="n"/>
      <c r="G1422" s="36" t="n"/>
      <c r="H1422" s="40" t="n"/>
      <c r="I1422" s="40" t="n"/>
      <c r="J1422" s="41">
        <f>IF(ISNUMBER(H1422),H1422,IF(AND(D1422="労務費",TRIM(E1422)&lt;&gt;""),IFERROR(INDEX('設定'!$G$12:$G$31,MATCH(TRIM(E1422),'設定'!$J$12:$J$31,0)),""),""))</f>
        <v/>
      </c>
      <c r="K1422" s="30">
        <f>IF(AND(ISNUMBER(F1422),ISNUMBER(J1422)),ROUND(F1422*J1422,0),IF(ISNUMBER(I1422),I1422,""))</f>
        <v/>
      </c>
      <c r="L1422" s="33" t="n"/>
      <c r="M1422" s="34">
        <f>IF(COUNTA(A1422:B1422,D1422:I1422,L1422)=0,"",IF(B1422="","案件番号がありません",IF(ISNA(MATCH(B1422,'案件'!$A$6:$A$105,0)),"案件シートに無い番号です",IF(NOT(OR(D1422="材料費",D1422="労務費",D1422="外注費",D1422="経費")),"費目を4つから選んでください",IF(K1422="",IF(AND(ISNUMBER(F1422),NOT(ISNUMBER(J1422))),IF(D1422="労務費","単価がありません（設定の作業者名と同じ書き方に）","単価がありません"),IF(AND(ISNUMBER(J1422),NOT(ISNUMBER(F1422))),"数量がありません","金額がありません")),IF(NOT(ISNUMBER(A1422)),"日付がありません（月別集計に入りません）",IF(AND(ISNUMBER(F1422),ISNUMBER(J1422),ISNUMBER(I1422)),"数量×単価を使いました（金額の欄は使っていません）","")))))))</f>
        <v/>
      </c>
      <c r="N1422" s="91">
        <f>IF(AND(B1422&lt;&gt;"",B1422='案件カード'!$C$3),COUNTIF($B$5:B1422,'案件カード'!$C$3),"")</f>
        <v/>
      </c>
      <c r="O1422" s="91">
        <f>IF(ISNUMBER(K1422),IF(B1422="",K1422,IF(AND(ISNUMBER(MATCH(B1422,'案件'!$A$6:$A$105,0)),OR(D1422="材料費",D1422="労務費",D1422="外注費",D1422="経費")),0,K1422)),0)</f>
        <v/>
      </c>
    </row>
    <row r="1423" ht="16" customHeight="1">
      <c r="A1423" s="35" t="n"/>
      <c r="B1423" s="36" t="n"/>
      <c r="C1423" s="37">
        <f>IF(B1423="","",IFERROR(INDEX('案件'!$B$6:$B$105,MATCH(B1423,'案件'!$A$6:$A$105,0))&amp;"","（案件シートに無い番号）"))</f>
        <v/>
      </c>
      <c r="D1423" s="36" t="n"/>
      <c r="E1423" s="38" t="n"/>
      <c r="F1423" s="39" t="n"/>
      <c r="G1423" s="36" t="n"/>
      <c r="H1423" s="40" t="n"/>
      <c r="I1423" s="40" t="n"/>
      <c r="J1423" s="41">
        <f>IF(ISNUMBER(H1423),H1423,IF(AND(D1423="労務費",TRIM(E1423)&lt;&gt;""),IFERROR(INDEX('設定'!$G$12:$G$31,MATCH(TRIM(E1423),'設定'!$J$12:$J$31,0)),""),""))</f>
        <v/>
      </c>
      <c r="K1423" s="30">
        <f>IF(AND(ISNUMBER(F1423),ISNUMBER(J1423)),ROUND(F1423*J1423,0),IF(ISNUMBER(I1423),I1423,""))</f>
        <v/>
      </c>
      <c r="L1423" s="33" t="n"/>
      <c r="M1423" s="34">
        <f>IF(COUNTA(A1423:B1423,D1423:I1423,L1423)=0,"",IF(B1423="","案件番号がありません",IF(ISNA(MATCH(B1423,'案件'!$A$6:$A$105,0)),"案件シートに無い番号です",IF(NOT(OR(D1423="材料費",D1423="労務費",D1423="外注費",D1423="経費")),"費目を4つから選んでください",IF(K1423="",IF(AND(ISNUMBER(F1423),NOT(ISNUMBER(J1423))),IF(D1423="労務費","単価がありません（設定の作業者名と同じ書き方に）","単価がありません"),IF(AND(ISNUMBER(J1423),NOT(ISNUMBER(F1423))),"数量がありません","金額がありません")),IF(NOT(ISNUMBER(A1423)),"日付がありません（月別集計に入りません）",IF(AND(ISNUMBER(F1423),ISNUMBER(J1423),ISNUMBER(I1423)),"数量×単価を使いました（金額の欄は使っていません）","")))))))</f>
        <v/>
      </c>
      <c r="N1423" s="91">
        <f>IF(AND(B1423&lt;&gt;"",B1423='案件カード'!$C$3),COUNTIF($B$5:B1423,'案件カード'!$C$3),"")</f>
        <v/>
      </c>
      <c r="O1423" s="91">
        <f>IF(ISNUMBER(K1423),IF(B1423="",K1423,IF(AND(ISNUMBER(MATCH(B1423,'案件'!$A$6:$A$105,0)),OR(D1423="材料費",D1423="労務費",D1423="外注費",D1423="経費")),0,K1423)),0)</f>
        <v/>
      </c>
    </row>
    <row r="1424" ht="16" customHeight="1">
      <c r="A1424" s="35" t="n"/>
      <c r="B1424" s="36" t="n"/>
      <c r="C1424" s="37">
        <f>IF(B1424="","",IFERROR(INDEX('案件'!$B$6:$B$105,MATCH(B1424,'案件'!$A$6:$A$105,0))&amp;"","（案件シートに無い番号）"))</f>
        <v/>
      </c>
      <c r="D1424" s="36" t="n"/>
      <c r="E1424" s="38" t="n"/>
      <c r="F1424" s="39" t="n"/>
      <c r="G1424" s="36" t="n"/>
      <c r="H1424" s="40" t="n"/>
      <c r="I1424" s="40" t="n"/>
      <c r="J1424" s="41">
        <f>IF(ISNUMBER(H1424),H1424,IF(AND(D1424="労務費",TRIM(E1424)&lt;&gt;""),IFERROR(INDEX('設定'!$G$12:$G$31,MATCH(TRIM(E1424),'設定'!$J$12:$J$31,0)),""),""))</f>
        <v/>
      </c>
      <c r="K1424" s="30">
        <f>IF(AND(ISNUMBER(F1424),ISNUMBER(J1424)),ROUND(F1424*J1424,0),IF(ISNUMBER(I1424),I1424,""))</f>
        <v/>
      </c>
      <c r="L1424" s="33" t="n"/>
      <c r="M1424" s="34">
        <f>IF(COUNTA(A1424:B1424,D1424:I1424,L1424)=0,"",IF(B1424="","案件番号がありません",IF(ISNA(MATCH(B1424,'案件'!$A$6:$A$105,0)),"案件シートに無い番号です",IF(NOT(OR(D1424="材料費",D1424="労務費",D1424="外注費",D1424="経費")),"費目を4つから選んでください",IF(K1424="",IF(AND(ISNUMBER(F1424),NOT(ISNUMBER(J1424))),IF(D1424="労務費","単価がありません（設定の作業者名と同じ書き方に）","単価がありません"),IF(AND(ISNUMBER(J1424),NOT(ISNUMBER(F1424))),"数量がありません","金額がありません")),IF(NOT(ISNUMBER(A1424)),"日付がありません（月別集計に入りません）",IF(AND(ISNUMBER(F1424),ISNUMBER(J1424),ISNUMBER(I1424)),"数量×単価を使いました（金額の欄は使っていません）","")))))))</f>
        <v/>
      </c>
      <c r="N1424" s="91">
        <f>IF(AND(B1424&lt;&gt;"",B1424='案件カード'!$C$3),COUNTIF($B$5:B1424,'案件カード'!$C$3),"")</f>
        <v/>
      </c>
      <c r="O1424" s="91">
        <f>IF(ISNUMBER(K1424),IF(B1424="",K1424,IF(AND(ISNUMBER(MATCH(B1424,'案件'!$A$6:$A$105,0)),OR(D1424="材料費",D1424="労務費",D1424="外注費",D1424="経費")),0,K1424)),0)</f>
        <v/>
      </c>
    </row>
    <row r="1425" ht="16" customHeight="1">
      <c r="A1425" s="35" t="n"/>
      <c r="B1425" s="36" t="n"/>
      <c r="C1425" s="37">
        <f>IF(B1425="","",IFERROR(INDEX('案件'!$B$6:$B$105,MATCH(B1425,'案件'!$A$6:$A$105,0))&amp;"","（案件シートに無い番号）"))</f>
        <v/>
      </c>
      <c r="D1425" s="36" t="n"/>
      <c r="E1425" s="38" t="n"/>
      <c r="F1425" s="39" t="n"/>
      <c r="G1425" s="36" t="n"/>
      <c r="H1425" s="40" t="n"/>
      <c r="I1425" s="40" t="n"/>
      <c r="J1425" s="41">
        <f>IF(ISNUMBER(H1425),H1425,IF(AND(D1425="労務費",TRIM(E1425)&lt;&gt;""),IFERROR(INDEX('設定'!$G$12:$G$31,MATCH(TRIM(E1425),'設定'!$J$12:$J$31,0)),""),""))</f>
        <v/>
      </c>
      <c r="K1425" s="30">
        <f>IF(AND(ISNUMBER(F1425),ISNUMBER(J1425)),ROUND(F1425*J1425,0),IF(ISNUMBER(I1425),I1425,""))</f>
        <v/>
      </c>
      <c r="L1425" s="33" t="n"/>
      <c r="M1425" s="34">
        <f>IF(COUNTA(A1425:B1425,D1425:I1425,L1425)=0,"",IF(B1425="","案件番号がありません",IF(ISNA(MATCH(B1425,'案件'!$A$6:$A$105,0)),"案件シートに無い番号です",IF(NOT(OR(D1425="材料費",D1425="労務費",D1425="外注費",D1425="経費")),"費目を4つから選んでください",IF(K1425="",IF(AND(ISNUMBER(F1425),NOT(ISNUMBER(J1425))),IF(D1425="労務費","単価がありません（設定の作業者名と同じ書き方に）","単価がありません"),IF(AND(ISNUMBER(J1425),NOT(ISNUMBER(F1425))),"数量がありません","金額がありません")),IF(NOT(ISNUMBER(A1425)),"日付がありません（月別集計に入りません）",IF(AND(ISNUMBER(F1425),ISNUMBER(J1425),ISNUMBER(I1425)),"数量×単価を使いました（金額の欄は使っていません）","")))))))</f>
        <v/>
      </c>
      <c r="N1425" s="91">
        <f>IF(AND(B1425&lt;&gt;"",B1425='案件カード'!$C$3),COUNTIF($B$5:B1425,'案件カード'!$C$3),"")</f>
        <v/>
      </c>
      <c r="O1425" s="91">
        <f>IF(ISNUMBER(K1425),IF(B1425="",K1425,IF(AND(ISNUMBER(MATCH(B1425,'案件'!$A$6:$A$105,0)),OR(D1425="材料費",D1425="労務費",D1425="外注費",D1425="経費")),0,K1425)),0)</f>
        <v/>
      </c>
    </row>
    <row r="1426" ht="16" customHeight="1">
      <c r="A1426" s="35" t="n"/>
      <c r="B1426" s="36" t="n"/>
      <c r="C1426" s="37">
        <f>IF(B1426="","",IFERROR(INDEX('案件'!$B$6:$B$105,MATCH(B1426,'案件'!$A$6:$A$105,0))&amp;"","（案件シートに無い番号）"))</f>
        <v/>
      </c>
      <c r="D1426" s="36" t="n"/>
      <c r="E1426" s="38" t="n"/>
      <c r="F1426" s="39" t="n"/>
      <c r="G1426" s="36" t="n"/>
      <c r="H1426" s="40" t="n"/>
      <c r="I1426" s="40" t="n"/>
      <c r="J1426" s="41">
        <f>IF(ISNUMBER(H1426),H1426,IF(AND(D1426="労務費",TRIM(E1426)&lt;&gt;""),IFERROR(INDEX('設定'!$G$12:$G$31,MATCH(TRIM(E1426),'設定'!$J$12:$J$31,0)),""),""))</f>
        <v/>
      </c>
      <c r="K1426" s="30">
        <f>IF(AND(ISNUMBER(F1426),ISNUMBER(J1426)),ROUND(F1426*J1426,0),IF(ISNUMBER(I1426),I1426,""))</f>
        <v/>
      </c>
      <c r="L1426" s="33" t="n"/>
      <c r="M1426" s="34">
        <f>IF(COUNTA(A1426:B1426,D1426:I1426,L1426)=0,"",IF(B1426="","案件番号がありません",IF(ISNA(MATCH(B1426,'案件'!$A$6:$A$105,0)),"案件シートに無い番号です",IF(NOT(OR(D1426="材料費",D1426="労務費",D1426="外注費",D1426="経費")),"費目を4つから選んでください",IF(K1426="",IF(AND(ISNUMBER(F1426),NOT(ISNUMBER(J1426))),IF(D1426="労務費","単価がありません（設定の作業者名と同じ書き方に）","単価がありません"),IF(AND(ISNUMBER(J1426),NOT(ISNUMBER(F1426))),"数量がありません","金額がありません")),IF(NOT(ISNUMBER(A1426)),"日付がありません（月別集計に入りません）",IF(AND(ISNUMBER(F1426),ISNUMBER(J1426),ISNUMBER(I1426)),"数量×単価を使いました（金額の欄は使っていません）","")))))))</f>
        <v/>
      </c>
      <c r="N1426" s="91">
        <f>IF(AND(B1426&lt;&gt;"",B1426='案件カード'!$C$3),COUNTIF($B$5:B1426,'案件カード'!$C$3),"")</f>
        <v/>
      </c>
      <c r="O1426" s="91">
        <f>IF(ISNUMBER(K1426),IF(B1426="",K1426,IF(AND(ISNUMBER(MATCH(B1426,'案件'!$A$6:$A$105,0)),OR(D1426="材料費",D1426="労務費",D1426="外注費",D1426="経費")),0,K1426)),0)</f>
        <v/>
      </c>
    </row>
    <row r="1427" ht="16" customHeight="1">
      <c r="A1427" s="35" t="n"/>
      <c r="B1427" s="36" t="n"/>
      <c r="C1427" s="37">
        <f>IF(B1427="","",IFERROR(INDEX('案件'!$B$6:$B$105,MATCH(B1427,'案件'!$A$6:$A$105,0))&amp;"","（案件シートに無い番号）"))</f>
        <v/>
      </c>
      <c r="D1427" s="36" t="n"/>
      <c r="E1427" s="38" t="n"/>
      <c r="F1427" s="39" t="n"/>
      <c r="G1427" s="36" t="n"/>
      <c r="H1427" s="40" t="n"/>
      <c r="I1427" s="40" t="n"/>
      <c r="J1427" s="41">
        <f>IF(ISNUMBER(H1427),H1427,IF(AND(D1427="労務費",TRIM(E1427)&lt;&gt;""),IFERROR(INDEX('設定'!$G$12:$G$31,MATCH(TRIM(E1427),'設定'!$J$12:$J$31,0)),""),""))</f>
        <v/>
      </c>
      <c r="K1427" s="30">
        <f>IF(AND(ISNUMBER(F1427),ISNUMBER(J1427)),ROUND(F1427*J1427,0),IF(ISNUMBER(I1427),I1427,""))</f>
        <v/>
      </c>
      <c r="L1427" s="33" t="n"/>
      <c r="M1427" s="34">
        <f>IF(COUNTA(A1427:B1427,D1427:I1427,L1427)=0,"",IF(B1427="","案件番号がありません",IF(ISNA(MATCH(B1427,'案件'!$A$6:$A$105,0)),"案件シートに無い番号です",IF(NOT(OR(D1427="材料費",D1427="労務費",D1427="外注費",D1427="経費")),"費目を4つから選んでください",IF(K1427="",IF(AND(ISNUMBER(F1427),NOT(ISNUMBER(J1427))),IF(D1427="労務費","単価がありません（設定の作業者名と同じ書き方に）","単価がありません"),IF(AND(ISNUMBER(J1427),NOT(ISNUMBER(F1427))),"数量がありません","金額がありません")),IF(NOT(ISNUMBER(A1427)),"日付がありません（月別集計に入りません）",IF(AND(ISNUMBER(F1427),ISNUMBER(J1427),ISNUMBER(I1427)),"数量×単価を使いました（金額の欄は使っていません）","")))))))</f>
        <v/>
      </c>
      <c r="N1427" s="91">
        <f>IF(AND(B1427&lt;&gt;"",B1427='案件カード'!$C$3),COUNTIF($B$5:B1427,'案件カード'!$C$3),"")</f>
        <v/>
      </c>
      <c r="O1427" s="91">
        <f>IF(ISNUMBER(K1427),IF(B1427="",K1427,IF(AND(ISNUMBER(MATCH(B1427,'案件'!$A$6:$A$105,0)),OR(D1427="材料費",D1427="労務費",D1427="外注費",D1427="経費")),0,K1427)),0)</f>
        <v/>
      </c>
    </row>
    <row r="1428" ht="16" customHeight="1">
      <c r="A1428" s="35" t="n"/>
      <c r="B1428" s="36" t="n"/>
      <c r="C1428" s="37">
        <f>IF(B1428="","",IFERROR(INDEX('案件'!$B$6:$B$105,MATCH(B1428,'案件'!$A$6:$A$105,0))&amp;"","（案件シートに無い番号）"))</f>
        <v/>
      </c>
      <c r="D1428" s="36" t="n"/>
      <c r="E1428" s="38" t="n"/>
      <c r="F1428" s="39" t="n"/>
      <c r="G1428" s="36" t="n"/>
      <c r="H1428" s="40" t="n"/>
      <c r="I1428" s="40" t="n"/>
      <c r="J1428" s="41">
        <f>IF(ISNUMBER(H1428),H1428,IF(AND(D1428="労務費",TRIM(E1428)&lt;&gt;""),IFERROR(INDEX('設定'!$G$12:$G$31,MATCH(TRIM(E1428),'設定'!$J$12:$J$31,0)),""),""))</f>
        <v/>
      </c>
      <c r="K1428" s="30">
        <f>IF(AND(ISNUMBER(F1428),ISNUMBER(J1428)),ROUND(F1428*J1428,0),IF(ISNUMBER(I1428),I1428,""))</f>
        <v/>
      </c>
      <c r="L1428" s="33" t="n"/>
      <c r="M1428" s="34">
        <f>IF(COUNTA(A1428:B1428,D1428:I1428,L1428)=0,"",IF(B1428="","案件番号がありません",IF(ISNA(MATCH(B1428,'案件'!$A$6:$A$105,0)),"案件シートに無い番号です",IF(NOT(OR(D1428="材料費",D1428="労務費",D1428="外注費",D1428="経費")),"費目を4つから選んでください",IF(K1428="",IF(AND(ISNUMBER(F1428),NOT(ISNUMBER(J1428))),IF(D1428="労務費","単価がありません（設定の作業者名と同じ書き方に）","単価がありません"),IF(AND(ISNUMBER(J1428),NOT(ISNUMBER(F1428))),"数量がありません","金額がありません")),IF(NOT(ISNUMBER(A1428)),"日付がありません（月別集計に入りません）",IF(AND(ISNUMBER(F1428),ISNUMBER(J1428),ISNUMBER(I1428)),"数量×単価を使いました（金額の欄は使っていません）","")))))))</f>
        <v/>
      </c>
      <c r="N1428" s="91">
        <f>IF(AND(B1428&lt;&gt;"",B1428='案件カード'!$C$3),COUNTIF($B$5:B1428,'案件カード'!$C$3),"")</f>
        <v/>
      </c>
      <c r="O1428" s="91">
        <f>IF(ISNUMBER(K1428),IF(B1428="",K1428,IF(AND(ISNUMBER(MATCH(B1428,'案件'!$A$6:$A$105,0)),OR(D1428="材料費",D1428="労務費",D1428="外注費",D1428="経費")),0,K1428)),0)</f>
        <v/>
      </c>
    </row>
    <row r="1429" ht="16" customHeight="1">
      <c r="A1429" s="35" t="n"/>
      <c r="B1429" s="36" t="n"/>
      <c r="C1429" s="37">
        <f>IF(B1429="","",IFERROR(INDEX('案件'!$B$6:$B$105,MATCH(B1429,'案件'!$A$6:$A$105,0))&amp;"","（案件シートに無い番号）"))</f>
        <v/>
      </c>
      <c r="D1429" s="36" t="n"/>
      <c r="E1429" s="38" t="n"/>
      <c r="F1429" s="39" t="n"/>
      <c r="G1429" s="36" t="n"/>
      <c r="H1429" s="40" t="n"/>
      <c r="I1429" s="40" t="n"/>
      <c r="J1429" s="41">
        <f>IF(ISNUMBER(H1429),H1429,IF(AND(D1429="労務費",TRIM(E1429)&lt;&gt;""),IFERROR(INDEX('設定'!$G$12:$G$31,MATCH(TRIM(E1429),'設定'!$J$12:$J$31,0)),""),""))</f>
        <v/>
      </c>
      <c r="K1429" s="30">
        <f>IF(AND(ISNUMBER(F1429),ISNUMBER(J1429)),ROUND(F1429*J1429,0),IF(ISNUMBER(I1429),I1429,""))</f>
        <v/>
      </c>
      <c r="L1429" s="33" t="n"/>
      <c r="M1429" s="34">
        <f>IF(COUNTA(A1429:B1429,D1429:I1429,L1429)=0,"",IF(B1429="","案件番号がありません",IF(ISNA(MATCH(B1429,'案件'!$A$6:$A$105,0)),"案件シートに無い番号です",IF(NOT(OR(D1429="材料費",D1429="労務費",D1429="外注費",D1429="経費")),"費目を4つから選んでください",IF(K1429="",IF(AND(ISNUMBER(F1429),NOT(ISNUMBER(J1429))),IF(D1429="労務費","単価がありません（設定の作業者名と同じ書き方に）","単価がありません"),IF(AND(ISNUMBER(J1429),NOT(ISNUMBER(F1429))),"数量がありません","金額がありません")),IF(NOT(ISNUMBER(A1429)),"日付がありません（月別集計に入りません）",IF(AND(ISNUMBER(F1429),ISNUMBER(J1429),ISNUMBER(I1429)),"数量×単価を使いました（金額の欄は使っていません）","")))))))</f>
        <v/>
      </c>
      <c r="N1429" s="91">
        <f>IF(AND(B1429&lt;&gt;"",B1429='案件カード'!$C$3),COUNTIF($B$5:B1429,'案件カード'!$C$3),"")</f>
        <v/>
      </c>
      <c r="O1429" s="91">
        <f>IF(ISNUMBER(K1429),IF(B1429="",K1429,IF(AND(ISNUMBER(MATCH(B1429,'案件'!$A$6:$A$105,0)),OR(D1429="材料費",D1429="労務費",D1429="外注費",D1429="経費")),0,K1429)),0)</f>
        <v/>
      </c>
    </row>
    <row r="1430" ht="16" customHeight="1">
      <c r="A1430" s="35" t="n"/>
      <c r="B1430" s="36" t="n"/>
      <c r="C1430" s="37">
        <f>IF(B1430="","",IFERROR(INDEX('案件'!$B$6:$B$105,MATCH(B1430,'案件'!$A$6:$A$105,0))&amp;"","（案件シートに無い番号）"))</f>
        <v/>
      </c>
      <c r="D1430" s="36" t="n"/>
      <c r="E1430" s="38" t="n"/>
      <c r="F1430" s="39" t="n"/>
      <c r="G1430" s="36" t="n"/>
      <c r="H1430" s="40" t="n"/>
      <c r="I1430" s="40" t="n"/>
      <c r="J1430" s="41">
        <f>IF(ISNUMBER(H1430),H1430,IF(AND(D1430="労務費",TRIM(E1430)&lt;&gt;""),IFERROR(INDEX('設定'!$G$12:$G$31,MATCH(TRIM(E1430),'設定'!$J$12:$J$31,0)),""),""))</f>
        <v/>
      </c>
      <c r="K1430" s="30">
        <f>IF(AND(ISNUMBER(F1430),ISNUMBER(J1430)),ROUND(F1430*J1430,0),IF(ISNUMBER(I1430),I1430,""))</f>
        <v/>
      </c>
      <c r="L1430" s="33" t="n"/>
      <c r="M1430" s="34">
        <f>IF(COUNTA(A1430:B1430,D1430:I1430,L1430)=0,"",IF(B1430="","案件番号がありません",IF(ISNA(MATCH(B1430,'案件'!$A$6:$A$105,0)),"案件シートに無い番号です",IF(NOT(OR(D1430="材料費",D1430="労務費",D1430="外注費",D1430="経費")),"費目を4つから選んでください",IF(K1430="",IF(AND(ISNUMBER(F1430),NOT(ISNUMBER(J1430))),IF(D1430="労務費","単価がありません（設定の作業者名と同じ書き方に）","単価がありません"),IF(AND(ISNUMBER(J1430),NOT(ISNUMBER(F1430))),"数量がありません","金額がありません")),IF(NOT(ISNUMBER(A1430)),"日付がありません（月別集計に入りません）",IF(AND(ISNUMBER(F1430),ISNUMBER(J1430),ISNUMBER(I1430)),"数量×単価を使いました（金額の欄は使っていません）","")))))))</f>
        <v/>
      </c>
      <c r="N1430" s="91">
        <f>IF(AND(B1430&lt;&gt;"",B1430='案件カード'!$C$3),COUNTIF($B$5:B1430,'案件カード'!$C$3),"")</f>
        <v/>
      </c>
      <c r="O1430" s="91">
        <f>IF(ISNUMBER(K1430),IF(B1430="",K1430,IF(AND(ISNUMBER(MATCH(B1430,'案件'!$A$6:$A$105,0)),OR(D1430="材料費",D1430="労務費",D1430="外注費",D1430="経費")),0,K1430)),0)</f>
        <v/>
      </c>
    </row>
    <row r="1431" ht="16" customHeight="1">
      <c r="A1431" s="35" t="n"/>
      <c r="B1431" s="36" t="n"/>
      <c r="C1431" s="37">
        <f>IF(B1431="","",IFERROR(INDEX('案件'!$B$6:$B$105,MATCH(B1431,'案件'!$A$6:$A$105,0))&amp;"","（案件シートに無い番号）"))</f>
        <v/>
      </c>
      <c r="D1431" s="36" t="n"/>
      <c r="E1431" s="38" t="n"/>
      <c r="F1431" s="39" t="n"/>
      <c r="G1431" s="36" t="n"/>
      <c r="H1431" s="40" t="n"/>
      <c r="I1431" s="40" t="n"/>
      <c r="J1431" s="41">
        <f>IF(ISNUMBER(H1431),H1431,IF(AND(D1431="労務費",TRIM(E1431)&lt;&gt;""),IFERROR(INDEX('設定'!$G$12:$G$31,MATCH(TRIM(E1431),'設定'!$J$12:$J$31,0)),""),""))</f>
        <v/>
      </c>
      <c r="K1431" s="30">
        <f>IF(AND(ISNUMBER(F1431),ISNUMBER(J1431)),ROUND(F1431*J1431,0),IF(ISNUMBER(I1431),I1431,""))</f>
        <v/>
      </c>
      <c r="L1431" s="33" t="n"/>
      <c r="M1431" s="34">
        <f>IF(COUNTA(A1431:B1431,D1431:I1431,L1431)=0,"",IF(B1431="","案件番号がありません",IF(ISNA(MATCH(B1431,'案件'!$A$6:$A$105,0)),"案件シートに無い番号です",IF(NOT(OR(D1431="材料費",D1431="労務費",D1431="外注費",D1431="経費")),"費目を4つから選んでください",IF(K1431="",IF(AND(ISNUMBER(F1431),NOT(ISNUMBER(J1431))),IF(D1431="労務費","単価がありません（設定の作業者名と同じ書き方に）","単価がありません"),IF(AND(ISNUMBER(J1431),NOT(ISNUMBER(F1431))),"数量がありません","金額がありません")),IF(NOT(ISNUMBER(A1431)),"日付がありません（月別集計に入りません）",IF(AND(ISNUMBER(F1431),ISNUMBER(J1431),ISNUMBER(I1431)),"数量×単価を使いました（金額の欄は使っていません）","")))))))</f>
        <v/>
      </c>
      <c r="N1431" s="91">
        <f>IF(AND(B1431&lt;&gt;"",B1431='案件カード'!$C$3),COUNTIF($B$5:B1431,'案件カード'!$C$3),"")</f>
        <v/>
      </c>
      <c r="O1431" s="91">
        <f>IF(ISNUMBER(K1431),IF(B1431="",K1431,IF(AND(ISNUMBER(MATCH(B1431,'案件'!$A$6:$A$105,0)),OR(D1431="材料費",D1431="労務費",D1431="外注費",D1431="経費")),0,K1431)),0)</f>
        <v/>
      </c>
    </row>
    <row r="1432" ht="16" customHeight="1">
      <c r="A1432" s="35" t="n"/>
      <c r="B1432" s="36" t="n"/>
      <c r="C1432" s="37">
        <f>IF(B1432="","",IFERROR(INDEX('案件'!$B$6:$B$105,MATCH(B1432,'案件'!$A$6:$A$105,0))&amp;"","（案件シートに無い番号）"))</f>
        <v/>
      </c>
      <c r="D1432" s="36" t="n"/>
      <c r="E1432" s="38" t="n"/>
      <c r="F1432" s="39" t="n"/>
      <c r="G1432" s="36" t="n"/>
      <c r="H1432" s="40" t="n"/>
      <c r="I1432" s="40" t="n"/>
      <c r="J1432" s="41">
        <f>IF(ISNUMBER(H1432),H1432,IF(AND(D1432="労務費",TRIM(E1432)&lt;&gt;""),IFERROR(INDEX('設定'!$G$12:$G$31,MATCH(TRIM(E1432),'設定'!$J$12:$J$31,0)),""),""))</f>
        <v/>
      </c>
      <c r="K1432" s="30">
        <f>IF(AND(ISNUMBER(F1432),ISNUMBER(J1432)),ROUND(F1432*J1432,0),IF(ISNUMBER(I1432),I1432,""))</f>
        <v/>
      </c>
      <c r="L1432" s="33" t="n"/>
      <c r="M1432" s="34">
        <f>IF(COUNTA(A1432:B1432,D1432:I1432,L1432)=0,"",IF(B1432="","案件番号がありません",IF(ISNA(MATCH(B1432,'案件'!$A$6:$A$105,0)),"案件シートに無い番号です",IF(NOT(OR(D1432="材料費",D1432="労務費",D1432="外注費",D1432="経費")),"費目を4つから選んでください",IF(K1432="",IF(AND(ISNUMBER(F1432),NOT(ISNUMBER(J1432))),IF(D1432="労務費","単価がありません（設定の作業者名と同じ書き方に）","単価がありません"),IF(AND(ISNUMBER(J1432),NOT(ISNUMBER(F1432))),"数量がありません","金額がありません")),IF(NOT(ISNUMBER(A1432)),"日付がありません（月別集計に入りません）",IF(AND(ISNUMBER(F1432),ISNUMBER(J1432),ISNUMBER(I1432)),"数量×単価を使いました（金額の欄は使っていません）","")))))))</f>
        <v/>
      </c>
      <c r="N1432" s="91">
        <f>IF(AND(B1432&lt;&gt;"",B1432='案件カード'!$C$3),COUNTIF($B$5:B1432,'案件カード'!$C$3),"")</f>
        <v/>
      </c>
      <c r="O1432" s="91">
        <f>IF(ISNUMBER(K1432),IF(B1432="",K1432,IF(AND(ISNUMBER(MATCH(B1432,'案件'!$A$6:$A$105,0)),OR(D1432="材料費",D1432="労務費",D1432="外注費",D1432="経費")),0,K1432)),0)</f>
        <v/>
      </c>
    </row>
    <row r="1433" ht="16" customHeight="1">
      <c r="A1433" s="35" t="n"/>
      <c r="B1433" s="36" t="n"/>
      <c r="C1433" s="37">
        <f>IF(B1433="","",IFERROR(INDEX('案件'!$B$6:$B$105,MATCH(B1433,'案件'!$A$6:$A$105,0))&amp;"","（案件シートに無い番号）"))</f>
        <v/>
      </c>
      <c r="D1433" s="36" t="n"/>
      <c r="E1433" s="38" t="n"/>
      <c r="F1433" s="39" t="n"/>
      <c r="G1433" s="36" t="n"/>
      <c r="H1433" s="40" t="n"/>
      <c r="I1433" s="40" t="n"/>
      <c r="J1433" s="41">
        <f>IF(ISNUMBER(H1433),H1433,IF(AND(D1433="労務費",TRIM(E1433)&lt;&gt;""),IFERROR(INDEX('設定'!$G$12:$G$31,MATCH(TRIM(E1433),'設定'!$J$12:$J$31,0)),""),""))</f>
        <v/>
      </c>
      <c r="K1433" s="30">
        <f>IF(AND(ISNUMBER(F1433),ISNUMBER(J1433)),ROUND(F1433*J1433,0),IF(ISNUMBER(I1433),I1433,""))</f>
        <v/>
      </c>
      <c r="L1433" s="33" t="n"/>
      <c r="M1433" s="34">
        <f>IF(COUNTA(A1433:B1433,D1433:I1433,L1433)=0,"",IF(B1433="","案件番号がありません",IF(ISNA(MATCH(B1433,'案件'!$A$6:$A$105,0)),"案件シートに無い番号です",IF(NOT(OR(D1433="材料費",D1433="労務費",D1433="外注費",D1433="経費")),"費目を4つから選んでください",IF(K1433="",IF(AND(ISNUMBER(F1433),NOT(ISNUMBER(J1433))),IF(D1433="労務費","単価がありません（設定の作業者名と同じ書き方に）","単価がありません"),IF(AND(ISNUMBER(J1433),NOT(ISNUMBER(F1433))),"数量がありません","金額がありません")),IF(NOT(ISNUMBER(A1433)),"日付がありません（月別集計に入りません）",IF(AND(ISNUMBER(F1433),ISNUMBER(J1433),ISNUMBER(I1433)),"数量×単価を使いました（金額の欄は使っていません）","")))))))</f>
        <v/>
      </c>
      <c r="N1433" s="91">
        <f>IF(AND(B1433&lt;&gt;"",B1433='案件カード'!$C$3),COUNTIF($B$5:B1433,'案件カード'!$C$3),"")</f>
        <v/>
      </c>
      <c r="O1433" s="91">
        <f>IF(ISNUMBER(K1433),IF(B1433="",K1433,IF(AND(ISNUMBER(MATCH(B1433,'案件'!$A$6:$A$105,0)),OR(D1433="材料費",D1433="労務費",D1433="外注費",D1433="経費")),0,K1433)),0)</f>
        <v/>
      </c>
    </row>
    <row r="1434" ht="16" customHeight="1">
      <c r="A1434" s="35" t="n"/>
      <c r="B1434" s="36" t="n"/>
      <c r="C1434" s="37">
        <f>IF(B1434="","",IFERROR(INDEX('案件'!$B$6:$B$105,MATCH(B1434,'案件'!$A$6:$A$105,0))&amp;"","（案件シートに無い番号）"))</f>
        <v/>
      </c>
      <c r="D1434" s="36" t="n"/>
      <c r="E1434" s="38" t="n"/>
      <c r="F1434" s="39" t="n"/>
      <c r="G1434" s="36" t="n"/>
      <c r="H1434" s="40" t="n"/>
      <c r="I1434" s="40" t="n"/>
      <c r="J1434" s="41">
        <f>IF(ISNUMBER(H1434),H1434,IF(AND(D1434="労務費",TRIM(E1434)&lt;&gt;""),IFERROR(INDEX('設定'!$G$12:$G$31,MATCH(TRIM(E1434),'設定'!$J$12:$J$31,0)),""),""))</f>
        <v/>
      </c>
      <c r="K1434" s="30">
        <f>IF(AND(ISNUMBER(F1434),ISNUMBER(J1434)),ROUND(F1434*J1434,0),IF(ISNUMBER(I1434),I1434,""))</f>
        <v/>
      </c>
      <c r="L1434" s="33" t="n"/>
      <c r="M1434" s="34">
        <f>IF(COUNTA(A1434:B1434,D1434:I1434,L1434)=0,"",IF(B1434="","案件番号がありません",IF(ISNA(MATCH(B1434,'案件'!$A$6:$A$105,0)),"案件シートに無い番号です",IF(NOT(OR(D1434="材料費",D1434="労務費",D1434="外注費",D1434="経費")),"費目を4つから選んでください",IF(K1434="",IF(AND(ISNUMBER(F1434),NOT(ISNUMBER(J1434))),IF(D1434="労務費","単価がありません（設定の作業者名と同じ書き方に）","単価がありません"),IF(AND(ISNUMBER(J1434),NOT(ISNUMBER(F1434))),"数量がありません","金額がありません")),IF(NOT(ISNUMBER(A1434)),"日付がありません（月別集計に入りません）",IF(AND(ISNUMBER(F1434),ISNUMBER(J1434),ISNUMBER(I1434)),"数量×単価を使いました（金額の欄は使っていません）","")))))))</f>
        <v/>
      </c>
      <c r="N1434" s="91">
        <f>IF(AND(B1434&lt;&gt;"",B1434='案件カード'!$C$3),COUNTIF($B$5:B1434,'案件カード'!$C$3),"")</f>
        <v/>
      </c>
      <c r="O1434" s="91">
        <f>IF(ISNUMBER(K1434),IF(B1434="",K1434,IF(AND(ISNUMBER(MATCH(B1434,'案件'!$A$6:$A$105,0)),OR(D1434="材料費",D1434="労務費",D1434="外注費",D1434="経費")),0,K1434)),0)</f>
        <v/>
      </c>
    </row>
    <row r="1435" ht="16" customHeight="1">
      <c r="A1435" s="35" t="n"/>
      <c r="B1435" s="36" t="n"/>
      <c r="C1435" s="37">
        <f>IF(B1435="","",IFERROR(INDEX('案件'!$B$6:$B$105,MATCH(B1435,'案件'!$A$6:$A$105,0))&amp;"","（案件シートに無い番号）"))</f>
        <v/>
      </c>
      <c r="D1435" s="36" t="n"/>
      <c r="E1435" s="38" t="n"/>
      <c r="F1435" s="39" t="n"/>
      <c r="G1435" s="36" t="n"/>
      <c r="H1435" s="40" t="n"/>
      <c r="I1435" s="40" t="n"/>
      <c r="J1435" s="41">
        <f>IF(ISNUMBER(H1435),H1435,IF(AND(D1435="労務費",TRIM(E1435)&lt;&gt;""),IFERROR(INDEX('設定'!$G$12:$G$31,MATCH(TRIM(E1435),'設定'!$J$12:$J$31,0)),""),""))</f>
        <v/>
      </c>
      <c r="K1435" s="30">
        <f>IF(AND(ISNUMBER(F1435),ISNUMBER(J1435)),ROUND(F1435*J1435,0),IF(ISNUMBER(I1435),I1435,""))</f>
        <v/>
      </c>
      <c r="L1435" s="33" t="n"/>
      <c r="M1435" s="34">
        <f>IF(COUNTA(A1435:B1435,D1435:I1435,L1435)=0,"",IF(B1435="","案件番号がありません",IF(ISNA(MATCH(B1435,'案件'!$A$6:$A$105,0)),"案件シートに無い番号です",IF(NOT(OR(D1435="材料費",D1435="労務費",D1435="外注費",D1435="経費")),"費目を4つから選んでください",IF(K1435="",IF(AND(ISNUMBER(F1435),NOT(ISNUMBER(J1435))),IF(D1435="労務費","単価がありません（設定の作業者名と同じ書き方に）","単価がありません"),IF(AND(ISNUMBER(J1435),NOT(ISNUMBER(F1435))),"数量がありません","金額がありません")),IF(NOT(ISNUMBER(A1435)),"日付がありません（月別集計に入りません）",IF(AND(ISNUMBER(F1435),ISNUMBER(J1435),ISNUMBER(I1435)),"数量×単価を使いました（金額の欄は使っていません）","")))))))</f>
        <v/>
      </c>
      <c r="N1435" s="91">
        <f>IF(AND(B1435&lt;&gt;"",B1435='案件カード'!$C$3),COUNTIF($B$5:B1435,'案件カード'!$C$3),"")</f>
        <v/>
      </c>
      <c r="O1435" s="91">
        <f>IF(ISNUMBER(K1435),IF(B1435="",K1435,IF(AND(ISNUMBER(MATCH(B1435,'案件'!$A$6:$A$105,0)),OR(D1435="材料費",D1435="労務費",D1435="外注費",D1435="経費")),0,K1435)),0)</f>
        <v/>
      </c>
    </row>
    <row r="1436" ht="16" customHeight="1">
      <c r="A1436" s="35" t="n"/>
      <c r="B1436" s="36" t="n"/>
      <c r="C1436" s="37">
        <f>IF(B1436="","",IFERROR(INDEX('案件'!$B$6:$B$105,MATCH(B1436,'案件'!$A$6:$A$105,0))&amp;"","（案件シートに無い番号）"))</f>
        <v/>
      </c>
      <c r="D1436" s="36" t="n"/>
      <c r="E1436" s="38" t="n"/>
      <c r="F1436" s="39" t="n"/>
      <c r="G1436" s="36" t="n"/>
      <c r="H1436" s="40" t="n"/>
      <c r="I1436" s="40" t="n"/>
      <c r="J1436" s="41">
        <f>IF(ISNUMBER(H1436),H1436,IF(AND(D1436="労務費",TRIM(E1436)&lt;&gt;""),IFERROR(INDEX('設定'!$G$12:$G$31,MATCH(TRIM(E1436),'設定'!$J$12:$J$31,0)),""),""))</f>
        <v/>
      </c>
      <c r="K1436" s="30">
        <f>IF(AND(ISNUMBER(F1436),ISNUMBER(J1436)),ROUND(F1436*J1436,0),IF(ISNUMBER(I1436),I1436,""))</f>
        <v/>
      </c>
      <c r="L1436" s="33" t="n"/>
      <c r="M1436" s="34">
        <f>IF(COUNTA(A1436:B1436,D1436:I1436,L1436)=0,"",IF(B1436="","案件番号がありません",IF(ISNA(MATCH(B1436,'案件'!$A$6:$A$105,0)),"案件シートに無い番号です",IF(NOT(OR(D1436="材料費",D1436="労務費",D1436="外注費",D1436="経費")),"費目を4つから選んでください",IF(K1436="",IF(AND(ISNUMBER(F1436),NOT(ISNUMBER(J1436))),IF(D1436="労務費","単価がありません（設定の作業者名と同じ書き方に）","単価がありません"),IF(AND(ISNUMBER(J1436),NOT(ISNUMBER(F1436))),"数量がありません","金額がありません")),IF(NOT(ISNUMBER(A1436)),"日付がありません（月別集計に入りません）",IF(AND(ISNUMBER(F1436),ISNUMBER(J1436),ISNUMBER(I1436)),"数量×単価を使いました（金額の欄は使っていません）","")))))))</f>
        <v/>
      </c>
      <c r="N1436" s="91">
        <f>IF(AND(B1436&lt;&gt;"",B1436='案件カード'!$C$3),COUNTIF($B$5:B1436,'案件カード'!$C$3),"")</f>
        <v/>
      </c>
      <c r="O1436" s="91">
        <f>IF(ISNUMBER(K1436),IF(B1436="",K1436,IF(AND(ISNUMBER(MATCH(B1436,'案件'!$A$6:$A$105,0)),OR(D1436="材料費",D1436="労務費",D1436="外注費",D1436="経費")),0,K1436)),0)</f>
        <v/>
      </c>
    </row>
    <row r="1437" ht="16" customHeight="1">
      <c r="A1437" s="35" t="n"/>
      <c r="B1437" s="36" t="n"/>
      <c r="C1437" s="37">
        <f>IF(B1437="","",IFERROR(INDEX('案件'!$B$6:$B$105,MATCH(B1437,'案件'!$A$6:$A$105,0))&amp;"","（案件シートに無い番号）"))</f>
        <v/>
      </c>
      <c r="D1437" s="36" t="n"/>
      <c r="E1437" s="38" t="n"/>
      <c r="F1437" s="39" t="n"/>
      <c r="G1437" s="36" t="n"/>
      <c r="H1437" s="40" t="n"/>
      <c r="I1437" s="40" t="n"/>
      <c r="J1437" s="41">
        <f>IF(ISNUMBER(H1437),H1437,IF(AND(D1437="労務費",TRIM(E1437)&lt;&gt;""),IFERROR(INDEX('設定'!$G$12:$G$31,MATCH(TRIM(E1437),'設定'!$J$12:$J$31,0)),""),""))</f>
        <v/>
      </c>
      <c r="K1437" s="30">
        <f>IF(AND(ISNUMBER(F1437),ISNUMBER(J1437)),ROUND(F1437*J1437,0),IF(ISNUMBER(I1437),I1437,""))</f>
        <v/>
      </c>
      <c r="L1437" s="33" t="n"/>
      <c r="M1437" s="34">
        <f>IF(COUNTA(A1437:B1437,D1437:I1437,L1437)=0,"",IF(B1437="","案件番号がありません",IF(ISNA(MATCH(B1437,'案件'!$A$6:$A$105,0)),"案件シートに無い番号です",IF(NOT(OR(D1437="材料費",D1437="労務費",D1437="外注費",D1437="経費")),"費目を4つから選んでください",IF(K1437="",IF(AND(ISNUMBER(F1437),NOT(ISNUMBER(J1437))),IF(D1437="労務費","単価がありません（設定の作業者名と同じ書き方に）","単価がありません"),IF(AND(ISNUMBER(J1437),NOT(ISNUMBER(F1437))),"数量がありません","金額がありません")),IF(NOT(ISNUMBER(A1437)),"日付がありません（月別集計に入りません）",IF(AND(ISNUMBER(F1437),ISNUMBER(J1437),ISNUMBER(I1437)),"数量×単価を使いました（金額の欄は使っていません）","")))))))</f>
        <v/>
      </c>
      <c r="N1437" s="91">
        <f>IF(AND(B1437&lt;&gt;"",B1437='案件カード'!$C$3),COUNTIF($B$5:B1437,'案件カード'!$C$3),"")</f>
        <v/>
      </c>
      <c r="O1437" s="91">
        <f>IF(ISNUMBER(K1437),IF(B1437="",K1437,IF(AND(ISNUMBER(MATCH(B1437,'案件'!$A$6:$A$105,0)),OR(D1437="材料費",D1437="労務費",D1437="外注費",D1437="経費")),0,K1437)),0)</f>
        <v/>
      </c>
    </row>
    <row r="1438" ht="16" customHeight="1">
      <c r="A1438" s="35" t="n"/>
      <c r="B1438" s="36" t="n"/>
      <c r="C1438" s="37">
        <f>IF(B1438="","",IFERROR(INDEX('案件'!$B$6:$B$105,MATCH(B1438,'案件'!$A$6:$A$105,0))&amp;"","（案件シートに無い番号）"))</f>
        <v/>
      </c>
      <c r="D1438" s="36" t="n"/>
      <c r="E1438" s="38" t="n"/>
      <c r="F1438" s="39" t="n"/>
      <c r="G1438" s="36" t="n"/>
      <c r="H1438" s="40" t="n"/>
      <c r="I1438" s="40" t="n"/>
      <c r="J1438" s="41">
        <f>IF(ISNUMBER(H1438),H1438,IF(AND(D1438="労務費",TRIM(E1438)&lt;&gt;""),IFERROR(INDEX('設定'!$G$12:$G$31,MATCH(TRIM(E1438),'設定'!$J$12:$J$31,0)),""),""))</f>
        <v/>
      </c>
      <c r="K1438" s="30">
        <f>IF(AND(ISNUMBER(F1438),ISNUMBER(J1438)),ROUND(F1438*J1438,0),IF(ISNUMBER(I1438),I1438,""))</f>
        <v/>
      </c>
      <c r="L1438" s="33" t="n"/>
      <c r="M1438" s="34">
        <f>IF(COUNTA(A1438:B1438,D1438:I1438,L1438)=0,"",IF(B1438="","案件番号がありません",IF(ISNA(MATCH(B1438,'案件'!$A$6:$A$105,0)),"案件シートに無い番号です",IF(NOT(OR(D1438="材料費",D1438="労務費",D1438="外注費",D1438="経費")),"費目を4つから選んでください",IF(K1438="",IF(AND(ISNUMBER(F1438),NOT(ISNUMBER(J1438))),IF(D1438="労務費","単価がありません（設定の作業者名と同じ書き方に）","単価がありません"),IF(AND(ISNUMBER(J1438),NOT(ISNUMBER(F1438))),"数量がありません","金額がありません")),IF(NOT(ISNUMBER(A1438)),"日付がありません（月別集計に入りません）",IF(AND(ISNUMBER(F1438),ISNUMBER(J1438),ISNUMBER(I1438)),"数量×単価を使いました（金額の欄は使っていません）","")))))))</f>
        <v/>
      </c>
      <c r="N1438" s="91">
        <f>IF(AND(B1438&lt;&gt;"",B1438='案件カード'!$C$3),COUNTIF($B$5:B1438,'案件カード'!$C$3),"")</f>
        <v/>
      </c>
      <c r="O1438" s="91">
        <f>IF(ISNUMBER(K1438),IF(B1438="",K1438,IF(AND(ISNUMBER(MATCH(B1438,'案件'!$A$6:$A$105,0)),OR(D1438="材料費",D1438="労務費",D1438="外注費",D1438="経費")),0,K1438)),0)</f>
        <v/>
      </c>
    </row>
    <row r="1439" ht="16" customHeight="1">
      <c r="A1439" s="35" t="n"/>
      <c r="B1439" s="36" t="n"/>
      <c r="C1439" s="37">
        <f>IF(B1439="","",IFERROR(INDEX('案件'!$B$6:$B$105,MATCH(B1439,'案件'!$A$6:$A$105,0))&amp;"","（案件シートに無い番号）"))</f>
        <v/>
      </c>
      <c r="D1439" s="36" t="n"/>
      <c r="E1439" s="38" t="n"/>
      <c r="F1439" s="39" t="n"/>
      <c r="G1439" s="36" t="n"/>
      <c r="H1439" s="40" t="n"/>
      <c r="I1439" s="40" t="n"/>
      <c r="J1439" s="41">
        <f>IF(ISNUMBER(H1439),H1439,IF(AND(D1439="労務費",TRIM(E1439)&lt;&gt;""),IFERROR(INDEX('設定'!$G$12:$G$31,MATCH(TRIM(E1439),'設定'!$J$12:$J$31,0)),""),""))</f>
        <v/>
      </c>
      <c r="K1439" s="30">
        <f>IF(AND(ISNUMBER(F1439),ISNUMBER(J1439)),ROUND(F1439*J1439,0),IF(ISNUMBER(I1439),I1439,""))</f>
        <v/>
      </c>
      <c r="L1439" s="33" t="n"/>
      <c r="M1439" s="34">
        <f>IF(COUNTA(A1439:B1439,D1439:I1439,L1439)=0,"",IF(B1439="","案件番号がありません",IF(ISNA(MATCH(B1439,'案件'!$A$6:$A$105,0)),"案件シートに無い番号です",IF(NOT(OR(D1439="材料費",D1439="労務費",D1439="外注費",D1439="経費")),"費目を4つから選んでください",IF(K1439="",IF(AND(ISNUMBER(F1439),NOT(ISNUMBER(J1439))),IF(D1439="労務費","単価がありません（設定の作業者名と同じ書き方に）","単価がありません"),IF(AND(ISNUMBER(J1439),NOT(ISNUMBER(F1439))),"数量がありません","金額がありません")),IF(NOT(ISNUMBER(A1439)),"日付がありません（月別集計に入りません）",IF(AND(ISNUMBER(F1439),ISNUMBER(J1439),ISNUMBER(I1439)),"数量×単価を使いました（金額の欄は使っていません）","")))))))</f>
        <v/>
      </c>
      <c r="N1439" s="91">
        <f>IF(AND(B1439&lt;&gt;"",B1439='案件カード'!$C$3),COUNTIF($B$5:B1439,'案件カード'!$C$3),"")</f>
        <v/>
      </c>
      <c r="O1439" s="91">
        <f>IF(ISNUMBER(K1439),IF(B1439="",K1439,IF(AND(ISNUMBER(MATCH(B1439,'案件'!$A$6:$A$105,0)),OR(D1439="材料費",D1439="労務費",D1439="外注費",D1439="経費")),0,K1439)),0)</f>
        <v/>
      </c>
    </row>
    <row r="1440" ht="16" customHeight="1">
      <c r="A1440" s="35" t="n"/>
      <c r="B1440" s="36" t="n"/>
      <c r="C1440" s="37">
        <f>IF(B1440="","",IFERROR(INDEX('案件'!$B$6:$B$105,MATCH(B1440,'案件'!$A$6:$A$105,0))&amp;"","（案件シートに無い番号）"))</f>
        <v/>
      </c>
      <c r="D1440" s="36" t="n"/>
      <c r="E1440" s="38" t="n"/>
      <c r="F1440" s="39" t="n"/>
      <c r="G1440" s="36" t="n"/>
      <c r="H1440" s="40" t="n"/>
      <c r="I1440" s="40" t="n"/>
      <c r="J1440" s="41">
        <f>IF(ISNUMBER(H1440),H1440,IF(AND(D1440="労務費",TRIM(E1440)&lt;&gt;""),IFERROR(INDEX('設定'!$G$12:$G$31,MATCH(TRIM(E1440),'設定'!$J$12:$J$31,0)),""),""))</f>
        <v/>
      </c>
      <c r="K1440" s="30">
        <f>IF(AND(ISNUMBER(F1440),ISNUMBER(J1440)),ROUND(F1440*J1440,0),IF(ISNUMBER(I1440),I1440,""))</f>
        <v/>
      </c>
      <c r="L1440" s="33" t="n"/>
      <c r="M1440" s="34">
        <f>IF(COUNTA(A1440:B1440,D1440:I1440,L1440)=0,"",IF(B1440="","案件番号がありません",IF(ISNA(MATCH(B1440,'案件'!$A$6:$A$105,0)),"案件シートに無い番号です",IF(NOT(OR(D1440="材料費",D1440="労務費",D1440="外注費",D1440="経費")),"費目を4つから選んでください",IF(K1440="",IF(AND(ISNUMBER(F1440),NOT(ISNUMBER(J1440))),IF(D1440="労務費","単価がありません（設定の作業者名と同じ書き方に）","単価がありません"),IF(AND(ISNUMBER(J1440),NOT(ISNUMBER(F1440))),"数量がありません","金額がありません")),IF(NOT(ISNUMBER(A1440)),"日付がありません（月別集計に入りません）",IF(AND(ISNUMBER(F1440),ISNUMBER(J1440),ISNUMBER(I1440)),"数量×単価を使いました（金額の欄は使っていません）","")))))))</f>
        <v/>
      </c>
      <c r="N1440" s="91">
        <f>IF(AND(B1440&lt;&gt;"",B1440='案件カード'!$C$3),COUNTIF($B$5:B1440,'案件カード'!$C$3),"")</f>
        <v/>
      </c>
      <c r="O1440" s="91">
        <f>IF(ISNUMBER(K1440),IF(B1440="",K1440,IF(AND(ISNUMBER(MATCH(B1440,'案件'!$A$6:$A$105,0)),OR(D1440="材料費",D1440="労務費",D1440="外注費",D1440="経費")),0,K1440)),0)</f>
        <v/>
      </c>
    </row>
    <row r="1441" ht="16" customHeight="1">
      <c r="A1441" s="35" t="n"/>
      <c r="B1441" s="36" t="n"/>
      <c r="C1441" s="37">
        <f>IF(B1441="","",IFERROR(INDEX('案件'!$B$6:$B$105,MATCH(B1441,'案件'!$A$6:$A$105,0))&amp;"","（案件シートに無い番号）"))</f>
        <v/>
      </c>
      <c r="D1441" s="36" t="n"/>
      <c r="E1441" s="38" t="n"/>
      <c r="F1441" s="39" t="n"/>
      <c r="G1441" s="36" t="n"/>
      <c r="H1441" s="40" t="n"/>
      <c r="I1441" s="40" t="n"/>
      <c r="J1441" s="41">
        <f>IF(ISNUMBER(H1441),H1441,IF(AND(D1441="労務費",TRIM(E1441)&lt;&gt;""),IFERROR(INDEX('設定'!$G$12:$G$31,MATCH(TRIM(E1441),'設定'!$J$12:$J$31,0)),""),""))</f>
        <v/>
      </c>
      <c r="K1441" s="30">
        <f>IF(AND(ISNUMBER(F1441),ISNUMBER(J1441)),ROUND(F1441*J1441,0),IF(ISNUMBER(I1441),I1441,""))</f>
        <v/>
      </c>
      <c r="L1441" s="33" t="n"/>
      <c r="M1441" s="34">
        <f>IF(COUNTA(A1441:B1441,D1441:I1441,L1441)=0,"",IF(B1441="","案件番号がありません",IF(ISNA(MATCH(B1441,'案件'!$A$6:$A$105,0)),"案件シートに無い番号です",IF(NOT(OR(D1441="材料費",D1441="労務費",D1441="外注費",D1441="経費")),"費目を4つから選んでください",IF(K1441="",IF(AND(ISNUMBER(F1441),NOT(ISNUMBER(J1441))),IF(D1441="労務費","単価がありません（設定の作業者名と同じ書き方に）","単価がありません"),IF(AND(ISNUMBER(J1441),NOT(ISNUMBER(F1441))),"数量がありません","金額がありません")),IF(NOT(ISNUMBER(A1441)),"日付がありません（月別集計に入りません）",IF(AND(ISNUMBER(F1441),ISNUMBER(J1441),ISNUMBER(I1441)),"数量×単価を使いました（金額の欄は使っていません）","")))))))</f>
        <v/>
      </c>
      <c r="N1441" s="91">
        <f>IF(AND(B1441&lt;&gt;"",B1441='案件カード'!$C$3),COUNTIF($B$5:B1441,'案件カード'!$C$3),"")</f>
        <v/>
      </c>
      <c r="O1441" s="91">
        <f>IF(ISNUMBER(K1441),IF(B1441="",K1441,IF(AND(ISNUMBER(MATCH(B1441,'案件'!$A$6:$A$105,0)),OR(D1441="材料費",D1441="労務費",D1441="外注費",D1441="経費")),0,K1441)),0)</f>
        <v/>
      </c>
    </row>
    <row r="1442" ht="16" customHeight="1">
      <c r="A1442" s="35" t="n"/>
      <c r="B1442" s="36" t="n"/>
      <c r="C1442" s="37">
        <f>IF(B1442="","",IFERROR(INDEX('案件'!$B$6:$B$105,MATCH(B1442,'案件'!$A$6:$A$105,0))&amp;"","（案件シートに無い番号）"))</f>
        <v/>
      </c>
      <c r="D1442" s="36" t="n"/>
      <c r="E1442" s="38" t="n"/>
      <c r="F1442" s="39" t="n"/>
      <c r="G1442" s="36" t="n"/>
      <c r="H1442" s="40" t="n"/>
      <c r="I1442" s="40" t="n"/>
      <c r="J1442" s="41">
        <f>IF(ISNUMBER(H1442),H1442,IF(AND(D1442="労務費",TRIM(E1442)&lt;&gt;""),IFERROR(INDEX('設定'!$G$12:$G$31,MATCH(TRIM(E1442),'設定'!$J$12:$J$31,0)),""),""))</f>
        <v/>
      </c>
      <c r="K1442" s="30">
        <f>IF(AND(ISNUMBER(F1442),ISNUMBER(J1442)),ROUND(F1442*J1442,0),IF(ISNUMBER(I1442),I1442,""))</f>
        <v/>
      </c>
      <c r="L1442" s="33" t="n"/>
      <c r="M1442" s="34">
        <f>IF(COUNTA(A1442:B1442,D1442:I1442,L1442)=0,"",IF(B1442="","案件番号がありません",IF(ISNA(MATCH(B1442,'案件'!$A$6:$A$105,0)),"案件シートに無い番号です",IF(NOT(OR(D1442="材料費",D1442="労務費",D1442="外注費",D1442="経費")),"費目を4つから選んでください",IF(K1442="",IF(AND(ISNUMBER(F1442),NOT(ISNUMBER(J1442))),IF(D1442="労務費","単価がありません（設定の作業者名と同じ書き方に）","単価がありません"),IF(AND(ISNUMBER(J1442),NOT(ISNUMBER(F1442))),"数量がありません","金額がありません")),IF(NOT(ISNUMBER(A1442)),"日付がありません（月別集計に入りません）",IF(AND(ISNUMBER(F1442),ISNUMBER(J1442),ISNUMBER(I1442)),"数量×単価を使いました（金額の欄は使っていません）","")))))))</f>
        <v/>
      </c>
      <c r="N1442" s="91">
        <f>IF(AND(B1442&lt;&gt;"",B1442='案件カード'!$C$3),COUNTIF($B$5:B1442,'案件カード'!$C$3),"")</f>
        <v/>
      </c>
      <c r="O1442" s="91">
        <f>IF(ISNUMBER(K1442),IF(B1442="",K1442,IF(AND(ISNUMBER(MATCH(B1442,'案件'!$A$6:$A$105,0)),OR(D1442="材料費",D1442="労務費",D1442="外注費",D1442="経費")),0,K1442)),0)</f>
        <v/>
      </c>
    </row>
    <row r="1443" ht="16" customHeight="1">
      <c r="A1443" s="35" t="n"/>
      <c r="B1443" s="36" t="n"/>
      <c r="C1443" s="37">
        <f>IF(B1443="","",IFERROR(INDEX('案件'!$B$6:$B$105,MATCH(B1443,'案件'!$A$6:$A$105,0))&amp;"","（案件シートに無い番号）"))</f>
        <v/>
      </c>
      <c r="D1443" s="36" t="n"/>
      <c r="E1443" s="38" t="n"/>
      <c r="F1443" s="39" t="n"/>
      <c r="G1443" s="36" t="n"/>
      <c r="H1443" s="40" t="n"/>
      <c r="I1443" s="40" t="n"/>
      <c r="J1443" s="41">
        <f>IF(ISNUMBER(H1443),H1443,IF(AND(D1443="労務費",TRIM(E1443)&lt;&gt;""),IFERROR(INDEX('設定'!$G$12:$G$31,MATCH(TRIM(E1443),'設定'!$J$12:$J$31,0)),""),""))</f>
        <v/>
      </c>
      <c r="K1443" s="30">
        <f>IF(AND(ISNUMBER(F1443),ISNUMBER(J1443)),ROUND(F1443*J1443,0),IF(ISNUMBER(I1443),I1443,""))</f>
        <v/>
      </c>
      <c r="L1443" s="33" t="n"/>
      <c r="M1443" s="34">
        <f>IF(COUNTA(A1443:B1443,D1443:I1443,L1443)=0,"",IF(B1443="","案件番号がありません",IF(ISNA(MATCH(B1443,'案件'!$A$6:$A$105,0)),"案件シートに無い番号です",IF(NOT(OR(D1443="材料費",D1443="労務費",D1443="外注費",D1443="経費")),"費目を4つから選んでください",IF(K1443="",IF(AND(ISNUMBER(F1443),NOT(ISNUMBER(J1443))),IF(D1443="労務費","単価がありません（設定の作業者名と同じ書き方に）","単価がありません"),IF(AND(ISNUMBER(J1443),NOT(ISNUMBER(F1443))),"数量がありません","金額がありません")),IF(NOT(ISNUMBER(A1443)),"日付がありません（月別集計に入りません）",IF(AND(ISNUMBER(F1443),ISNUMBER(J1443),ISNUMBER(I1443)),"数量×単価を使いました（金額の欄は使っていません）","")))))))</f>
        <v/>
      </c>
      <c r="N1443" s="91">
        <f>IF(AND(B1443&lt;&gt;"",B1443='案件カード'!$C$3),COUNTIF($B$5:B1443,'案件カード'!$C$3),"")</f>
        <v/>
      </c>
      <c r="O1443" s="91">
        <f>IF(ISNUMBER(K1443),IF(B1443="",K1443,IF(AND(ISNUMBER(MATCH(B1443,'案件'!$A$6:$A$105,0)),OR(D1443="材料費",D1443="労務費",D1443="外注費",D1443="経費")),0,K1443)),0)</f>
        <v/>
      </c>
    </row>
    <row r="1444" ht="16" customHeight="1">
      <c r="A1444" s="35" t="n"/>
      <c r="B1444" s="36" t="n"/>
      <c r="C1444" s="37">
        <f>IF(B1444="","",IFERROR(INDEX('案件'!$B$6:$B$105,MATCH(B1444,'案件'!$A$6:$A$105,0))&amp;"","（案件シートに無い番号）"))</f>
        <v/>
      </c>
      <c r="D1444" s="36" t="n"/>
      <c r="E1444" s="38" t="n"/>
      <c r="F1444" s="39" t="n"/>
      <c r="G1444" s="36" t="n"/>
      <c r="H1444" s="40" t="n"/>
      <c r="I1444" s="40" t="n"/>
      <c r="J1444" s="41">
        <f>IF(ISNUMBER(H1444),H1444,IF(AND(D1444="労務費",TRIM(E1444)&lt;&gt;""),IFERROR(INDEX('設定'!$G$12:$G$31,MATCH(TRIM(E1444),'設定'!$J$12:$J$31,0)),""),""))</f>
        <v/>
      </c>
      <c r="K1444" s="30">
        <f>IF(AND(ISNUMBER(F1444),ISNUMBER(J1444)),ROUND(F1444*J1444,0),IF(ISNUMBER(I1444),I1444,""))</f>
        <v/>
      </c>
      <c r="L1444" s="33" t="n"/>
      <c r="M1444" s="34">
        <f>IF(COUNTA(A1444:B1444,D1444:I1444,L1444)=0,"",IF(B1444="","案件番号がありません",IF(ISNA(MATCH(B1444,'案件'!$A$6:$A$105,0)),"案件シートに無い番号です",IF(NOT(OR(D1444="材料費",D1444="労務費",D1444="外注費",D1444="経費")),"費目を4つから選んでください",IF(K1444="",IF(AND(ISNUMBER(F1444),NOT(ISNUMBER(J1444))),IF(D1444="労務費","単価がありません（設定の作業者名と同じ書き方に）","単価がありません"),IF(AND(ISNUMBER(J1444),NOT(ISNUMBER(F1444))),"数量がありません","金額がありません")),IF(NOT(ISNUMBER(A1444)),"日付がありません（月別集計に入りません）",IF(AND(ISNUMBER(F1444),ISNUMBER(J1444),ISNUMBER(I1444)),"数量×単価を使いました（金額の欄は使っていません）","")))))))</f>
        <v/>
      </c>
      <c r="N1444" s="91">
        <f>IF(AND(B1444&lt;&gt;"",B1444='案件カード'!$C$3),COUNTIF($B$5:B1444,'案件カード'!$C$3),"")</f>
        <v/>
      </c>
      <c r="O1444" s="91">
        <f>IF(ISNUMBER(K1444),IF(B1444="",K1444,IF(AND(ISNUMBER(MATCH(B1444,'案件'!$A$6:$A$105,0)),OR(D1444="材料費",D1444="労務費",D1444="外注費",D1444="経費")),0,K1444)),0)</f>
        <v/>
      </c>
    </row>
    <row r="1445" ht="16" customHeight="1">
      <c r="A1445" s="35" t="n"/>
      <c r="B1445" s="36" t="n"/>
      <c r="C1445" s="37">
        <f>IF(B1445="","",IFERROR(INDEX('案件'!$B$6:$B$105,MATCH(B1445,'案件'!$A$6:$A$105,0))&amp;"","（案件シートに無い番号）"))</f>
        <v/>
      </c>
      <c r="D1445" s="36" t="n"/>
      <c r="E1445" s="38" t="n"/>
      <c r="F1445" s="39" t="n"/>
      <c r="G1445" s="36" t="n"/>
      <c r="H1445" s="40" t="n"/>
      <c r="I1445" s="40" t="n"/>
      <c r="J1445" s="41">
        <f>IF(ISNUMBER(H1445),H1445,IF(AND(D1445="労務費",TRIM(E1445)&lt;&gt;""),IFERROR(INDEX('設定'!$G$12:$G$31,MATCH(TRIM(E1445),'設定'!$J$12:$J$31,0)),""),""))</f>
        <v/>
      </c>
      <c r="K1445" s="30">
        <f>IF(AND(ISNUMBER(F1445),ISNUMBER(J1445)),ROUND(F1445*J1445,0),IF(ISNUMBER(I1445),I1445,""))</f>
        <v/>
      </c>
      <c r="L1445" s="33" t="n"/>
      <c r="M1445" s="34">
        <f>IF(COUNTA(A1445:B1445,D1445:I1445,L1445)=0,"",IF(B1445="","案件番号がありません",IF(ISNA(MATCH(B1445,'案件'!$A$6:$A$105,0)),"案件シートに無い番号です",IF(NOT(OR(D1445="材料費",D1445="労務費",D1445="外注費",D1445="経費")),"費目を4つから選んでください",IF(K1445="",IF(AND(ISNUMBER(F1445),NOT(ISNUMBER(J1445))),IF(D1445="労務費","単価がありません（設定の作業者名と同じ書き方に）","単価がありません"),IF(AND(ISNUMBER(J1445),NOT(ISNUMBER(F1445))),"数量がありません","金額がありません")),IF(NOT(ISNUMBER(A1445)),"日付がありません（月別集計に入りません）",IF(AND(ISNUMBER(F1445),ISNUMBER(J1445),ISNUMBER(I1445)),"数量×単価を使いました（金額の欄は使っていません）","")))))))</f>
        <v/>
      </c>
      <c r="N1445" s="91">
        <f>IF(AND(B1445&lt;&gt;"",B1445='案件カード'!$C$3),COUNTIF($B$5:B1445,'案件カード'!$C$3),"")</f>
        <v/>
      </c>
      <c r="O1445" s="91">
        <f>IF(ISNUMBER(K1445),IF(B1445="",K1445,IF(AND(ISNUMBER(MATCH(B1445,'案件'!$A$6:$A$105,0)),OR(D1445="材料費",D1445="労務費",D1445="外注費",D1445="経費")),0,K1445)),0)</f>
        <v/>
      </c>
    </row>
    <row r="1446" ht="16" customHeight="1">
      <c r="A1446" s="35" t="n"/>
      <c r="B1446" s="36" t="n"/>
      <c r="C1446" s="37">
        <f>IF(B1446="","",IFERROR(INDEX('案件'!$B$6:$B$105,MATCH(B1446,'案件'!$A$6:$A$105,0))&amp;"","（案件シートに無い番号）"))</f>
        <v/>
      </c>
      <c r="D1446" s="36" t="n"/>
      <c r="E1446" s="38" t="n"/>
      <c r="F1446" s="39" t="n"/>
      <c r="G1446" s="36" t="n"/>
      <c r="H1446" s="40" t="n"/>
      <c r="I1446" s="40" t="n"/>
      <c r="J1446" s="41">
        <f>IF(ISNUMBER(H1446),H1446,IF(AND(D1446="労務費",TRIM(E1446)&lt;&gt;""),IFERROR(INDEX('設定'!$G$12:$G$31,MATCH(TRIM(E1446),'設定'!$J$12:$J$31,0)),""),""))</f>
        <v/>
      </c>
      <c r="K1446" s="30">
        <f>IF(AND(ISNUMBER(F1446),ISNUMBER(J1446)),ROUND(F1446*J1446,0),IF(ISNUMBER(I1446),I1446,""))</f>
        <v/>
      </c>
      <c r="L1446" s="33" t="n"/>
      <c r="M1446" s="34">
        <f>IF(COUNTA(A1446:B1446,D1446:I1446,L1446)=0,"",IF(B1446="","案件番号がありません",IF(ISNA(MATCH(B1446,'案件'!$A$6:$A$105,0)),"案件シートに無い番号です",IF(NOT(OR(D1446="材料費",D1446="労務費",D1446="外注費",D1446="経費")),"費目を4つから選んでください",IF(K1446="",IF(AND(ISNUMBER(F1446),NOT(ISNUMBER(J1446))),IF(D1446="労務費","単価がありません（設定の作業者名と同じ書き方に）","単価がありません"),IF(AND(ISNUMBER(J1446),NOT(ISNUMBER(F1446))),"数量がありません","金額がありません")),IF(NOT(ISNUMBER(A1446)),"日付がありません（月別集計に入りません）",IF(AND(ISNUMBER(F1446),ISNUMBER(J1446),ISNUMBER(I1446)),"数量×単価を使いました（金額の欄は使っていません）","")))))))</f>
        <v/>
      </c>
      <c r="N1446" s="91">
        <f>IF(AND(B1446&lt;&gt;"",B1446='案件カード'!$C$3),COUNTIF($B$5:B1446,'案件カード'!$C$3),"")</f>
        <v/>
      </c>
      <c r="O1446" s="91">
        <f>IF(ISNUMBER(K1446),IF(B1446="",K1446,IF(AND(ISNUMBER(MATCH(B1446,'案件'!$A$6:$A$105,0)),OR(D1446="材料費",D1446="労務費",D1446="外注費",D1446="経費")),0,K1446)),0)</f>
        <v/>
      </c>
    </row>
    <row r="1447" ht="16" customHeight="1">
      <c r="A1447" s="35" t="n"/>
      <c r="B1447" s="36" t="n"/>
      <c r="C1447" s="37">
        <f>IF(B1447="","",IFERROR(INDEX('案件'!$B$6:$B$105,MATCH(B1447,'案件'!$A$6:$A$105,0))&amp;"","（案件シートに無い番号）"))</f>
        <v/>
      </c>
      <c r="D1447" s="36" t="n"/>
      <c r="E1447" s="38" t="n"/>
      <c r="F1447" s="39" t="n"/>
      <c r="G1447" s="36" t="n"/>
      <c r="H1447" s="40" t="n"/>
      <c r="I1447" s="40" t="n"/>
      <c r="J1447" s="41">
        <f>IF(ISNUMBER(H1447),H1447,IF(AND(D1447="労務費",TRIM(E1447)&lt;&gt;""),IFERROR(INDEX('設定'!$G$12:$G$31,MATCH(TRIM(E1447),'設定'!$J$12:$J$31,0)),""),""))</f>
        <v/>
      </c>
      <c r="K1447" s="30">
        <f>IF(AND(ISNUMBER(F1447),ISNUMBER(J1447)),ROUND(F1447*J1447,0),IF(ISNUMBER(I1447),I1447,""))</f>
        <v/>
      </c>
      <c r="L1447" s="33" t="n"/>
      <c r="M1447" s="34">
        <f>IF(COUNTA(A1447:B1447,D1447:I1447,L1447)=0,"",IF(B1447="","案件番号がありません",IF(ISNA(MATCH(B1447,'案件'!$A$6:$A$105,0)),"案件シートに無い番号です",IF(NOT(OR(D1447="材料費",D1447="労務費",D1447="外注費",D1447="経費")),"費目を4つから選んでください",IF(K1447="",IF(AND(ISNUMBER(F1447),NOT(ISNUMBER(J1447))),IF(D1447="労務費","単価がありません（設定の作業者名と同じ書き方に）","単価がありません"),IF(AND(ISNUMBER(J1447),NOT(ISNUMBER(F1447))),"数量がありません","金額がありません")),IF(NOT(ISNUMBER(A1447)),"日付がありません（月別集計に入りません）",IF(AND(ISNUMBER(F1447),ISNUMBER(J1447),ISNUMBER(I1447)),"数量×単価を使いました（金額の欄は使っていません）","")))))))</f>
        <v/>
      </c>
      <c r="N1447" s="91">
        <f>IF(AND(B1447&lt;&gt;"",B1447='案件カード'!$C$3),COUNTIF($B$5:B1447,'案件カード'!$C$3),"")</f>
        <v/>
      </c>
      <c r="O1447" s="91">
        <f>IF(ISNUMBER(K1447),IF(B1447="",K1447,IF(AND(ISNUMBER(MATCH(B1447,'案件'!$A$6:$A$105,0)),OR(D1447="材料費",D1447="労務費",D1447="外注費",D1447="経費")),0,K1447)),0)</f>
        <v/>
      </c>
    </row>
    <row r="1448" ht="16" customHeight="1">
      <c r="A1448" s="35" t="n"/>
      <c r="B1448" s="36" t="n"/>
      <c r="C1448" s="37">
        <f>IF(B1448="","",IFERROR(INDEX('案件'!$B$6:$B$105,MATCH(B1448,'案件'!$A$6:$A$105,0))&amp;"","（案件シートに無い番号）"))</f>
        <v/>
      </c>
      <c r="D1448" s="36" t="n"/>
      <c r="E1448" s="38" t="n"/>
      <c r="F1448" s="39" t="n"/>
      <c r="G1448" s="36" t="n"/>
      <c r="H1448" s="40" t="n"/>
      <c r="I1448" s="40" t="n"/>
      <c r="J1448" s="41">
        <f>IF(ISNUMBER(H1448),H1448,IF(AND(D1448="労務費",TRIM(E1448)&lt;&gt;""),IFERROR(INDEX('設定'!$G$12:$G$31,MATCH(TRIM(E1448),'設定'!$J$12:$J$31,0)),""),""))</f>
        <v/>
      </c>
      <c r="K1448" s="30">
        <f>IF(AND(ISNUMBER(F1448),ISNUMBER(J1448)),ROUND(F1448*J1448,0),IF(ISNUMBER(I1448),I1448,""))</f>
        <v/>
      </c>
      <c r="L1448" s="33" t="n"/>
      <c r="M1448" s="34">
        <f>IF(COUNTA(A1448:B1448,D1448:I1448,L1448)=0,"",IF(B1448="","案件番号がありません",IF(ISNA(MATCH(B1448,'案件'!$A$6:$A$105,0)),"案件シートに無い番号です",IF(NOT(OR(D1448="材料費",D1448="労務費",D1448="外注費",D1448="経費")),"費目を4つから選んでください",IF(K1448="",IF(AND(ISNUMBER(F1448),NOT(ISNUMBER(J1448))),IF(D1448="労務費","単価がありません（設定の作業者名と同じ書き方に）","単価がありません"),IF(AND(ISNUMBER(J1448),NOT(ISNUMBER(F1448))),"数量がありません","金額がありません")),IF(NOT(ISNUMBER(A1448)),"日付がありません（月別集計に入りません）",IF(AND(ISNUMBER(F1448),ISNUMBER(J1448),ISNUMBER(I1448)),"数量×単価を使いました（金額の欄は使っていません）","")))))))</f>
        <v/>
      </c>
      <c r="N1448" s="91">
        <f>IF(AND(B1448&lt;&gt;"",B1448='案件カード'!$C$3),COUNTIF($B$5:B1448,'案件カード'!$C$3),"")</f>
        <v/>
      </c>
      <c r="O1448" s="91">
        <f>IF(ISNUMBER(K1448),IF(B1448="",K1448,IF(AND(ISNUMBER(MATCH(B1448,'案件'!$A$6:$A$105,0)),OR(D1448="材料費",D1448="労務費",D1448="外注費",D1448="経費")),0,K1448)),0)</f>
        <v/>
      </c>
    </row>
    <row r="1449" ht="16" customHeight="1">
      <c r="A1449" s="35" t="n"/>
      <c r="B1449" s="36" t="n"/>
      <c r="C1449" s="37">
        <f>IF(B1449="","",IFERROR(INDEX('案件'!$B$6:$B$105,MATCH(B1449,'案件'!$A$6:$A$105,0))&amp;"","（案件シートに無い番号）"))</f>
        <v/>
      </c>
      <c r="D1449" s="36" t="n"/>
      <c r="E1449" s="38" t="n"/>
      <c r="F1449" s="39" t="n"/>
      <c r="G1449" s="36" t="n"/>
      <c r="H1449" s="40" t="n"/>
      <c r="I1449" s="40" t="n"/>
      <c r="J1449" s="41">
        <f>IF(ISNUMBER(H1449),H1449,IF(AND(D1449="労務費",TRIM(E1449)&lt;&gt;""),IFERROR(INDEX('設定'!$G$12:$G$31,MATCH(TRIM(E1449),'設定'!$J$12:$J$31,0)),""),""))</f>
        <v/>
      </c>
      <c r="K1449" s="30">
        <f>IF(AND(ISNUMBER(F1449),ISNUMBER(J1449)),ROUND(F1449*J1449,0),IF(ISNUMBER(I1449),I1449,""))</f>
        <v/>
      </c>
      <c r="L1449" s="33" t="n"/>
      <c r="M1449" s="34">
        <f>IF(COUNTA(A1449:B1449,D1449:I1449,L1449)=0,"",IF(B1449="","案件番号がありません",IF(ISNA(MATCH(B1449,'案件'!$A$6:$A$105,0)),"案件シートに無い番号です",IF(NOT(OR(D1449="材料費",D1449="労務費",D1449="外注費",D1449="経費")),"費目を4つから選んでください",IF(K1449="",IF(AND(ISNUMBER(F1449),NOT(ISNUMBER(J1449))),IF(D1449="労務費","単価がありません（設定の作業者名と同じ書き方に）","単価がありません"),IF(AND(ISNUMBER(J1449),NOT(ISNUMBER(F1449))),"数量がありません","金額がありません")),IF(NOT(ISNUMBER(A1449)),"日付がありません（月別集計に入りません）",IF(AND(ISNUMBER(F1449),ISNUMBER(J1449),ISNUMBER(I1449)),"数量×単価を使いました（金額の欄は使っていません）","")))))))</f>
        <v/>
      </c>
      <c r="N1449" s="91">
        <f>IF(AND(B1449&lt;&gt;"",B1449='案件カード'!$C$3),COUNTIF($B$5:B1449,'案件カード'!$C$3),"")</f>
        <v/>
      </c>
      <c r="O1449" s="91">
        <f>IF(ISNUMBER(K1449),IF(B1449="",K1449,IF(AND(ISNUMBER(MATCH(B1449,'案件'!$A$6:$A$105,0)),OR(D1449="材料費",D1449="労務費",D1449="外注費",D1449="経費")),0,K1449)),0)</f>
        <v/>
      </c>
    </row>
    <row r="1450" ht="16" customHeight="1">
      <c r="A1450" s="35" t="n"/>
      <c r="B1450" s="36" t="n"/>
      <c r="C1450" s="37">
        <f>IF(B1450="","",IFERROR(INDEX('案件'!$B$6:$B$105,MATCH(B1450,'案件'!$A$6:$A$105,0))&amp;"","（案件シートに無い番号）"))</f>
        <v/>
      </c>
      <c r="D1450" s="36" t="n"/>
      <c r="E1450" s="38" t="n"/>
      <c r="F1450" s="39" t="n"/>
      <c r="G1450" s="36" t="n"/>
      <c r="H1450" s="40" t="n"/>
      <c r="I1450" s="40" t="n"/>
      <c r="J1450" s="41">
        <f>IF(ISNUMBER(H1450),H1450,IF(AND(D1450="労務費",TRIM(E1450)&lt;&gt;""),IFERROR(INDEX('設定'!$G$12:$G$31,MATCH(TRIM(E1450),'設定'!$J$12:$J$31,0)),""),""))</f>
        <v/>
      </c>
      <c r="K1450" s="30">
        <f>IF(AND(ISNUMBER(F1450),ISNUMBER(J1450)),ROUND(F1450*J1450,0),IF(ISNUMBER(I1450),I1450,""))</f>
        <v/>
      </c>
      <c r="L1450" s="33" t="n"/>
      <c r="M1450" s="34">
        <f>IF(COUNTA(A1450:B1450,D1450:I1450,L1450)=0,"",IF(B1450="","案件番号がありません",IF(ISNA(MATCH(B1450,'案件'!$A$6:$A$105,0)),"案件シートに無い番号です",IF(NOT(OR(D1450="材料費",D1450="労務費",D1450="外注費",D1450="経費")),"費目を4つから選んでください",IF(K1450="",IF(AND(ISNUMBER(F1450),NOT(ISNUMBER(J1450))),IF(D1450="労務費","単価がありません（設定の作業者名と同じ書き方に）","単価がありません"),IF(AND(ISNUMBER(J1450),NOT(ISNUMBER(F1450))),"数量がありません","金額がありません")),IF(NOT(ISNUMBER(A1450)),"日付がありません（月別集計に入りません）",IF(AND(ISNUMBER(F1450),ISNUMBER(J1450),ISNUMBER(I1450)),"数量×単価を使いました（金額の欄は使っていません）","")))))))</f>
        <v/>
      </c>
      <c r="N1450" s="91">
        <f>IF(AND(B1450&lt;&gt;"",B1450='案件カード'!$C$3),COUNTIF($B$5:B1450,'案件カード'!$C$3),"")</f>
        <v/>
      </c>
      <c r="O1450" s="91">
        <f>IF(ISNUMBER(K1450),IF(B1450="",K1450,IF(AND(ISNUMBER(MATCH(B1450,'案件'!$A$6:$A$105,0)),OR(D1450="材料費",D1450="労務費",D1450="外注費",D1450="経費")),0,K1450)),0)</f>
        <v/>
      </c>
    </row>
    <row r="1451" ht="16" customHeight="1">
      <c r="A1451" s="35" t="n"/>
      <c r="B1451" s="36" t="n"/>
      <c r="C1451" s="37">
        <f>IF(B1451="","",IFERROR(INDEX('案件'!$B$6:$B$105,MATCH(B1451,'案件'!$A$6:$A$105,0))&amp;"","（案件シートに無い番号）"))</f>
        <v/>
      </c>
      <c r="D1451" s="36" t="n"/>
      <c r="E1451" s="38" t="n"/>
      <c r="F1451" s="39" t="n"/>
      <c r="G1451" s="36" t="n"/>
      <c r="H1451" s="40" t="n"/>
      <c r="I1451" s="40" t="n"/>
      <c r="J1451" s="41">
        <f>IF(ISNUMBER(H1451),H1451,IF(AND(D1451="労務費",TRIM(E1451)&lt;&gt;""),IFERROR(INDEX('設定'!$G$12:$G$31,MATCH(TRIM(E1451),'設定'!$J$12:$J$31,0)),""),""))</f>
        <v/>
      </c>
      <c r="K1451" s="30">
        <f>IF(AND(ISNUMBER(F1451),ISNUMBER(J1451)),ROUND(F1451*J1451,0),IF(ISNUMBER(I1451),I1451,""))</f>
        <v/>
      </c>
      <c r="L1451" s="33" t="n"/>
      <c r="M1451" s="34">
        <f>IF(COUNTA(A1451:B1451,D1451:I1451,L1451)=0,"",IF(B1451="","案件番号がありません",IF(ISNA(MATCH(B1451,'案件'!$A$6:$A$105,0)),"案件シートに無い番号です",IF(NOT(OR(D1451="材料費",D1451="労務費",D1451="外注費",D1451="経費")),"費目を4つから選んでください",IF(K1451="",IF(AND(ISNUMBER(F1451),NOT(ISNUMBER(J1451))),IF(D1451="労務費","単価がありません（設定の作業者名と同じ書き方に）","単価がありません"),IF(AND(ISNUMBER(J1451),NOT(ISNUMBER(F1451))),"数量がありません","金額がありません")),IF(NOT(ISNUMBER(A1451)),"日付がありません（月別集計に入りません）",IF(AND(ISNUMBER(F1451),ISNUMBER(J1451),ISNUMBER(I1451)),"数量×単価を使いました（金額の欄は使っていません）","")))))))</f>
        <v/>
      </c>
      <c r="N1451" s="91">
        <f>IF(AND(B1451&lt;&gt;"",B1451='案件カード'!$C$3),COUNTIF($B$5:B1451,'案件カード'!$C$3),"")</f>
        <v/>
      </c>
      <c r="O1451" s="91">
        <f>IF(ISNUMBER(K1451),IF(B1451="",K1451,IF(AND(ISNUMBER(MATCH(B1451,'案件'!$A$6:$A$105,0)),OR(D1451="材料費",D1451="労務費",D1451="外注費",D1451="経費")),0,K1451)),0)</f>
        <v/>
      </c>
    </row>
    <row r="1452" ht="16" customHeight="1">
      <c r="A1452" s="35" t="n"/>
      <c r="B1452" s="36" t="n"/>
      <c r="C1452" s="37">
        <f>IF(B1452="","",IFERROR(INDEX('案件'!$B$6:$B$105,MATCH(B1452,'案件'!$A$6:$A$105,0))&amp;"","（案件シートに無い番号）"))</f>
        <v/>
      </c>
      <c r="D1452" s="36" t="n"/>
      <c r="E1452" s="38" t="n"/>
      <c r="F1452" s="39" t="n"/>
      <c r="G1452" s="36" t="n"/>
      <c r="H1452" s="40" t="n"/>
      <c r="I1452" s="40" t="n"/>
      <c r="J1452" s="41">
        <f>IF(ISNUMBER(H1452),H1452,IF(AND(D1452="労務費",TRIM(E1452)&lt;&gt;""),IFERROR(INDEX('設定'!$G$12:$G$31,MATCH(TRIM(E1452),'設定'!$J$12:$J$31,0)),""),""))</f>
        <v/>
      </c>
      <c r="K1452" s="30">
        <f>IF(AND(ISNUMBER(F1452),ISNUMBER(J1452)),ROUND(F1452*J1452,0),IF(ISNUMBER(I1452),I1452,""))</f>
        <v/>
      </c>
      <c r="L1452" s="33" t="n"/>
      <c r="M1452" s="34">
        <f>IF(COUNTA(A1452:B1452,D1452:I1452,L1452)=0,"",IF(B1452="","案件番号がありません",IF(ISNA(MATCH(B1452,'案件'!$A$6:$A$105,0)),"案件シートに無い番号です",IF(NOT(OR(D1452="材料費",D1452="労務費",D1452="外注費",D1452="経費")),"費目を4つから選んでください",IF(K1452="",IF(AND(ISNUMBER(F1452),NOT(ISNUMBER(J1452))),IF(D1452="労務費","単価がありません（設定の作業者名と同じ書き方に）","単価がありません"),IF(AND(ISNUMBER(J1452),NOT(ISNUMBER(F1452))),"数量がありません","金額がありません")),IF(NOT(ISNUMBER(A1452)),"日付がありません（月別集計に入りません）",IF(AND(ISNUMBER(F1452),ISNUMBER(J1452),ISNUMBER(I1452)),"数量×単価を使いました（金額の欄は使っていません）","")))))))</f>
        <v/>
      </c>
      <c r="N1452" s="91">
        <f>IF(AND(B1452&lt;&gt;"",B1452='案件カード'!$C$3),COUNTIF($B$5:B1452,'案件カード'!$C$3),"")</f>
        <v/>
      </c>
      <c r="O1452" s="91">
        <f>IF(ISNUMBER(K1452),IF(B1452="",K1452,IF(AND(ISNUMBER(MATCH(B1452,'案件'!$A$6:$A$105,0)),OR(D1452="材料費",D1452="労務費",D1452="外注費",D1452="経費")),0,K1452)),0)</f>
        <v/>
      </c>
    </row>
    <row r="1453" ht="16" customHeight="1">
      <c r="A1453" s="35" t="n"/>
      <c r="B1453" s="36" t="n"/>
      <c r="C1453" s="37">
        <f>IF(B1453="","",IFERROR(INDEX('案件'!$B$6:$B$105,MATCH(B1453,'案件'!$A$6:$A$105,0))&amp;"","（案件シートに無い番号）"))</f>
        <v/>
      </c>
      <c r="D1453" s="36" t="n"/>
      <c r="E1453" s="38" t="n"/>
      <c r="F1453" s="39" t="n"/>
      <c r="G1453" s="36" t="n"/>
      <c r="H1453" s="40" t="n"/>
      <c r="I1453" s="40" t="n"/>
      <c r="J1453" s="41">
        <f>IF(ISNUMBER(H1453),H1453,IF(AND(D1453="労務費",TRIM(E1453)&lt;&gt;""),IFERROR(INDEX('設定'!$G$12:$G$31,MATCH(TRIM(E1453),'設定'!$J$12:$J$31,0)),""),""))</f>
        <v/>
      </c>
      <c r="K1453" s="30">
        <f>IF(AND(ISNUMBER(F1453),ISNUMBER(J1453)),ROUND(F1453*J1453,0),IF(ISNUMBER(I1453),I1453,""))</f>
        <v/>
      </c>
      <c r="L1453" s="33" t="n"/>
      <c r="M1453" s="34">
        <f>IF(COUNTA(A1453:B1453,D1453:I1453,L1453)=0,"",IF(B1453="","案件番号がありません",IF(ISNA(MATCH(B1453,'案件'!$A$6:$A$105,0)),"案件シートに無い番号です",IF(NOT(OR(D1453="材料費",D1453="労務費",D1453="外注費",D1453="経費")),"費目を4つから選んでください",IF(K1453="",IF(AND(ISNUMBER(F1453),NOT(ISNUMBER(J1453))),IF(D1453="労務費","単価がありません（設定の作業者名と同じ書き方に）","単価がありません"),IF(AND(ISNUMBER(J1453),NOT(ISNUMBER(F1453))),"数量がありません","金額がありません")),IF(NOT(ISNUMBER(A1453)),"日付がありません（月別集計に入りません）",IF(AND(ISNUMBER(F1453),ISNUMBER(J1453),ISNUMBER(I1453)),"数量×単価を使いました（金額の欄は使っていません）","")))))))</f>
        <v/>
      </c>
      <c r="N1453" s="91">
        <f>IF(AND(B1453&lt;&gt;"",B1453='案件カード'!$C$3),COUNTIF($B$5:B1453,'案件カード'!$C$3),"")</f>
        <v/>
      </c>
      <c r="O1453" s="91">
        <f>IF(ISNUMBER(K1453),IF(B1453="",K1453,IF(AND(ISNUMBER(MATCH(B1453,'案件'!$A$6:$A$105,0)),OR(D1453="材料費",D1453="労務費",D1453="外注費",D1453="経費")),0,K1453)),0)</f>
        <v/>
      </c>
    </row>
    <row r="1454" ht="16" customHeight="1">
      <c r="A1454" s="35" t="n"/>
      <c r="B1454" s="36" t="n"/>
      <c r="C1454" s="37">
        <f>IF(B1454="","",IFERROR(INDEX('案件'!$B$6:$B$105,MATCH(B1454,'案件'!$A$6:$A$105,0))&amp;"","（案件シートに無い番号）"))</f>
        <v/>
      </c>
      <c r="D1454" s="36" t="n"/>
      <c r="E1454" s="38" t="n"/>
      <c r="F1454" s="39" t="n"/>
      <c r="G1454" s="36" t="n"/>
      <c r="H1454" s="40" t="n"/>
      <c r="I1454" s="40" t="n"/>
      <c r="J1454" s="41">
        <f>IF(ISNUMBER(H1454),H1454,IF(AND(D1454="労務費",TRIM(E1454)&lt;&gt;""),IFERROR(INDEX('設定'!$G$12:$G$31,MATCH(TRIM(E1454),'設定'!$J$12:$J$31,0)),""),""))</f>
        <v/>
      </c>
      <c r="K1454" s="30">
        <f>IF(AND(ISNUMBER(F1454),ISNUMBER(J1454)),ROUND(F1454*J1454,0),IF(ISNUMBER(I1454),I1454,""))</f>
        <v/>
      </c>
      <c r="L1454" s="33" t="n"/>
      <c r="M1454" s="34">
        <f>IF(COUNTA(A1454:B1454,D1454:I1454,L1454)=0,"",IF(B1454="","案件番号がありません",IF(ISNA(MATCH(B1454,'案件'!$A$6:$A$105,0)),"案件シートに無い番号です",IF(NOT(OR(D1454="材料費",D1454="労務費",D1454="外注費",D1454="経費")),"費目を4つから選んでください",IF(K1454="",IF(AND(ISNUMBER(F1454),NOT(ISNUMBER(J1454))),IF(D1454="労務費","単価がありません（設定の作業者名と同じ書き方に）","単価がありません"),IF(AND(ISNUMBER(J1454),NOT(ISNUMBER(F1454))),"数量がありません","金額がありません")),IF(NOT(ISNUMBER(A1454)),"日付がありません（月別集計に入りません）",IF(AND(ISNUMBER(F1454),ISNUMBER(J1454),ISNUMBER(I1454)),"数量×単価を使いました（金額の欄は使っていません）","")))))))</f>
        <v/>
      </c>
      <c r="N1454" s="91">
        <f>IF(AND(B1454&lt;&gt;"",B1454='案件カード'!$C$3),COUNTIF($B$5:B1454,'案件カード'!$C$3),"")</f>
        <v/>
      </c>
      <c r="O1454" s="91">
        <f>IF(ISNUMBER(K1454),IF(B1454="",K1454,IF(AND(ISNUMBER(MATCH(B1454,'案件'!$A$6:$A$105,0)),OR(D1454="材料費",D1454="労務費",D1454="外注費",D1454="経費")),0,K1454)),0)</f>
        <v/>
      </c>
    </row>
    <row r="1455" ht="16" customHeight="1">
      <c r="A1455" s="35" t="n"/>
      <c r="B1455" s="36" t="n"/>
      <c r="C1455" s="37">
        <f>IF(B1455="","",IFERROR(INDEX('案件'!$B$6:$B$105,MATCH(B1455,'案件'!$A$6:$A$105,0))&amp;"","（案件シートに無い番号）"))</f>
        <v/>
      </c>
      <c r="D1455" s="36" t="n"/>
      <c r="E1455" s="38" t="n"/>
      <c r="F1455" s="39" t="n"/>
      <c r="G1455" s="36" t="n"/>
      <c r="H1455" s="40" t="n"/>
      <c r="I1455" s="40" t="n"/>
      <c r="J1455" s="41">
        <f>IF(ISNUMBER(H1455),H1455,IF(AND(D1455="労務費",TRIM(E1455)&lt;&gt;""),IFERROR(INDEX('設定'!$G$12:$G$31,MATCH(TRIM(E1455),'設定'!$J$12:$J$31,0)),""),""))</f>
        <v/>
      </c>
      <c r="K1455" s="30">
        <f>IF(AND(ISNUMBER(F1455),ISNUMBER(J1455)),ROUND(F1455*J1455,0),IF(ISNUMBER(I1455),I1455,""))</f>
        <v/>
      </c>
      <c r="L1455" s="33" t="n"/>
      <c r="M1455" s="34">
        <f>IF(COUNTA(A1455:B1455,D1455:I1455,L1455)=0,"",IF(B1455="","案件番号がありません",IF(ISNA(MATCH(B1455,'案件'!$A$6:$A$105,0)),"案件シートに無い番号です",IF(NOT(OR(D1455="材料費",D1455="労務費",D1455="外注費",D1455="経費")),"費目を4つから選んでください",IF(K1455="",IF(AND(ISNUMBER(F1455),NOT(ISNUMBER(J1455))),IF(D1455="労務費","単価がありません（設定の作業者名と同じ書き方に）","単価がありません"),IF(AND(ISNUMBER(J1455),NOT(ISNUMBER(F1455))),"数量がありません","金額がありません")),IF(NOT(ISNUMBER(A1455)),"日付がありません（月別集計に入りません）",IF(AND(ISNUMBER(F1455),ISNUMBER(J1455),ISNUMBER(I1455)),"数量×単価を使いました（金額の欄は使っていません）","")))))))</f>
        <v/>
      </c>
      <c r="N1455" s="91">
        <f>IF(AND(B1455&lt;&gt;"",B1455='案件カード'!$C$3),COUNTIF($B$5:B1455,'案件カード'!$C$3),"")</f>
        <v/>
      </c>
      <c r="O1455" s="91">
        <f>IF(ISNUMBER(K1455),IF(B1455="",K1455,IF(AND(ISNUMBER(MATCH(B1455,'案件'!$A$6:$A$105,0)),OR(D1455="材料費",D1455="労務費",D1455="外注費",D1455="経費")),0,K1455)),0)</f>
        <v/>
      </c>
    </row>
    <row r="1456" ht="16" customHeight="1">
      <c r="A1456" s="35" t="n"/>
      <c r="B1456" s="36" t="n"/>
      <c r="C1456" s="37">
        <f>IF(B1456="","",IFERROR(INDEX('案件'!$B$6:$B$105,MATCH(B1456,'案件'!$A$6:$A$105,0))&amp;"","（案件シートに無い番号）"))</f>
        <v/>
      </c>
      <c r="D1456" s="36" t="n"/>
      <c r="E1456" s="38" t="n"/>
      <c r="F1456" s="39" t="n"/>
      <c r="G1456" s="36" t="n"/>
      <c r="H1456" s="40" t="n"/>
      <c r="I1456" s="40" t="n"/>
      <c r="J1456" s="41">
        <f>IF(ISNUMBER(H1456),H1456,IF(AND(D1456="労務費",TRIM(E1456)&lt;&gt;""),IFERROR(INDEX('設定'!$G$12:$G$31,MATCH(TRIM(E1456),'設定'!$J$12:$J$31,0)),""),""))</f>
        <v/>
      </c>
      <c r="K1456" s="30">
        <f>IF(AND(ISNUMBER(F1456),ISNUMBER(J1456)),ROUND(F1456*J1456,0),IF(ISNUMBER(I1456),I1456,""))</f>
        <v/>
      </c>
      <c r="L1456" s="33" t="n"/>
      <c r="M1456" s="34">
        <f>IF(COUNTA(A1456:B1456,D1456:I1456,L1456)=0,"",IF(B1456="","案件番号がありません",IF(ISNA(MATCH(B1456,'案件'!$A$6:$A$105,0)),"案件シートに無い番号です",IF(NOT(OR(D1456="材料費",D1456="労務費",D1456="外注費",D1456="経費")),"費目を4つから選んでください",IF(K1456="",IF(AND(ISNUMBER(F1456),NOT(ISNUMBER(J1456))),IF(D1456="労務費","単価がありません（設定の作業者名と同じ書き方に）","単価がありません"),IF(AND(ISNUMBER(J1456),NOT(ISNUMBER(F1456))),"数量がありません","金額がありません")),IF(NOT(ISNUMBER(A1456)),"日付がありません（月別集計に入りません）",IF(AND(ISNUMBER(F1456),ISNUMBER(J1456),ISNUMBER(I1456)),"数量×単価を使いました（金額の欄は使っていません）","")))))))</f>
        <v/>
      </c>
      <c r="N1456" s="91">
        <f>IF(AND(B1456&lt;&gt;"",B1456='案件カード'!$C$3),COUNTIF($B$5:B1456,'案件カード'!$C$3),"")</f>
        <v/>
      </c>
      <c r="O1456" s="91">
        <f>IF(ISNUMBER(K1456),IF(B1456="",K1456,IF(AND(ISNUMBER(MATCH(B1456,'案件'!$A$6:$A$105,0)),OR(D1456="材料費",D1456="労務費",D1456="外注費",D1456="経費")),0,K1456)),0)</f>
        <v/>
      </c>
    </row>
    <row r="1457" ht="16" customHeight="1">
      <c r="A1457" s="35" t="n"/>
      <c r="B1457" s="36" t="n"/>
      <c r="C1457" s="37">
        <f>IF(B1457="","",IFERROR(INDEX('案件'!$B$6:$B$105,MATCH(B1457,'案件'!$A$6:$A$105,0))&amp;"","（案件シートに無い番号）"))</f>
        <v/>
      </c>
      <c r="D1457" s="36" t="n"/>
      <c r="E1457" s="38" t="n"/>
      <c r="F1457" s="39" t="n"/>
      <c r="G1457" s="36" t="n"/>
      <c r="H1457" s="40" t="n"/>
      <c r="I1457" s="40" t="n"/>
      <c r="J1457" s="41">
        <f>IF(ISNUMBER(H1457),H1457,IF(AND(D1457="労務費",TRIM(E1457)&lt;&gt;""),IFERROR(INDEX('設定'!$G$12:$G$31,MATCH(TRIM(E1457),'設定'!$J$12:$J$31,0)),""),""))</f>
        <v/>
      </c>
      <c r="K1457" s="30">
        <f>IF(AND(ISNUMBER(F1457),ISNUMBER(J1457)),ROUND(F1457*J1457,0),IF(ISNUMBER(I1457),I1457,""))</f>
        <v/>
      </c>
      <c r="L1457" s="33" t="n"/>
      <c r="M1457" s="34">
        <f>IF(COUNTA(A1457:B1457,D1457:I1457,L1457)=0,"",IF(B1457="","案件番号がありません",IF(ISNA(MATCH(B1457,'案件'!$A$6:$A$105,0)),"案件シートに無い番号です",IF(NOT(OR(D1457="材料費",D1457="労務費",D1457="外注費",D1457="経費")),"費目を4つから選んでください",IF(K1457="",IF(AND(ISNUMBER(F1457),NOT(ISNUMBER(J1457))),IF(D1457="労務費","単価がありません（設定の作業者名と同じ書き方に）","単価がありません"),IF(AND(ISNUMBER(J1457),NOT(ISNUMBER(F1457))),"数量がありません","金額がありません")),IF(NOT(ISNUMBER(A1457)),"日付がありません（月別集計に入りません）",IF(AND(ISNUMBER(F1457),ISNUMBER(J1457),ISNUMBER(I1457)),"数量×単価を使いました（金額の欄は使っていません）","")))))))</f>
        <v/>
      </c>
      <c r="N1457" s="91">
        <f>IF(AND(B1457&lt;&gt;"",B1457='案件カード'!$C$3),COUNTIF($B$5:B1457,'案件カード'!$C$3),"")</f>
        <v/>
      </c>
      <c r="O1457" s="91">
        <f>IF(ISNUMBER(K1457),IF(B1457="",K1457,IF(AND(ISNUMBER(MATCH(B1457,'案件'!$A$6:$A$105,0)),OR(D1457="材料費",D1457="労務費",D1457="外注費",D1457="経費")),0,K1457)),0)</f>
        <v/>
      </c>
    </row>
    <row r="1458" ht="16" customHeight="1">
      <c r="A1458" s="35" t="n"/>
      <c r="B1458" s="36" t="n"/>
      <c r="C1458" s="37">
        <f>IF(B1458="","",IFERROR(INDEX('案件'!$B$6:$B$105,MATCH(B1458,'案件'!$A$6:$A$105,0))&amp;"","（案件シートに無い番号）"))</f>
        <v/>
      </c>
      <c r="D1458" s="36" t="n"/>
      <c r="E1458" s="38" t="n"/>
      <c r="F1458" s="39" t="n"/>
      <c r="G1458" s="36" t="n"/>
      <c r="H1458" s="40" t="n"/>
      <c r="I1458" s="40" t="n"/>
      <c r="J1458" s="41">
        <f>IF(ISNUMBER(H1458),H1458,IF(AND(D1458="労務費",TRIM(E1458)&lt;&gt;""),IFERROR(INDEX('設定'!$G$12:$G$31,MATCH(TRIM(E1458),'設定'!$J$12:$J$31,0)),""),""))</f>
        <v/>
      </c>
      <c r="K1458" s="30">
        <f>IF(AND(ISNUMBER(F1458),ISNUMBER(J1458)),ROUND(F1458*J1458,0),IF(ISNUMBER(I1458),I1458,""))</f>
        <v/>
      </c>
      <c r="L1458" s="33" t="n"/>
      <c r="M1458" s="34">
        <f>IF(COUNTA(A1458:B1458,D1458:I1458,L1458)=0,"",IF(B1458="","案件番号がありません",IF(ISNA(MATCH(B1458,'案件'!$A$6:$A$105,0)),"案件シートに無い番号です",IF(NOT(OR(D1458="材料費",D1458="労務費",D1458="外注費",D1458="経費")),"費目を4つから選んでください",IF(K1458="",IF(AND(ISNUMBER(F1458),NOT(ISNUMBER(J1458))),IF(D1458="労務費","単価がありません（設定の作業者名と同じ書き方に）","単価がありません"),IF(AND(ISNUMBER(J1458),NOT(ISNUMBER(F1458))),"数量がありません","金額がありません")),IF(NOT(ISNUMBER(A1458)),"日付がありません（月別集計に入りません）",IF(AND(ISNUMBER(F1458),ISNUMBER(J1458),ISNUMBER(I1458)),"数量×単価を使いました（金額の欄は使っていません）","")))))))</f>
        <v/>
      </c>
      <c r="N1458" s="91">
        <f>IF(AND(B1458&lt;&gt;"",B1458='案件カード'!$C$3),COUNTIF($B$5:B1458,'案件カード'!$C$3),"")</f>
        <v/>
      </c>
      <c r="O1458" s="91">
        <f>IF(ISNUMBER(K1458),IF(B1458="",K1458,IF(AND(ISNUMBER(MATCH(B1458,'案件'!$A$6:$A$105,0)),OR(D1458="材料費",D1458="労務費",D1458="外注費",D1458="経費")),0,K1458)),0)</f>
        <v/>
      </c>
    </row>
    <row r="1459" ht="16" customHeight="1">
      <c r="A1459" s="35" t="n"/>
      <c r="B1459" s="36" t="n"/>
      <c r="C1459" s="37">
        <f>IF(B1459="","",IFERROR(INDEX('案件'!$B$6:$B$105,MATCH(B1459,'案件'!$A$6:$A$105,0))&amp;"","（案件シートに無い番号）"))</f>
        <v/>
      </c>
      <c r="D1459" s="36" t="n"/>
      <c r="E1459" s="38" t="n"/>
      <c r="F1459" s="39" t="n"/>
      <c r="G1459" s="36" t="n"/>
      <c r="H1459" s="40" t="n"/>
      <c r="I1459" s="40" t="n"/>
      <c r="J1459" s="41">
        <f>IF(ISNUMBER(H1459),H1459,IF(AND(D1459="労務費",TRIM(E1459)&lt;&gt;""),IFERROR(INDEX('設定'!$G$12:$G$31,MATCH(TRIM(E1459),'設定'!$J$12:$J$31,0)),""),""))</f>
        <v/>
      </c>
      <c r="K1459" s="30">
        <f>IF(AND(ISNUMBER(F1459),ISNUMBER(J1459)),ROUND(F1459*J1459,0),IF(ISNUMBER(I1459),I1459,""))</f>
        <v/>
      </c>
      <c r="L1459" s="33" t="n"/>
      <c r="M1459" s="34">
        <f>IF(COUNTA(A1459:B1459,D1459:I1459,L1459)=0,"",IF(B1459="","案件番号がありません",IF(ISNA(MATCH(B1459,'案件'!$A$6:$A$105,0)),"案件シートに無い番号です",IF(NOT(OR(D1459="材料費",D1459="労務費",D1459="外注費",D1459="経費")),"費目を4つから選んでください",IF(K1459="",IF(AND(ISNUMBER(F1459),NOT(ISNUMBER(J1459))),IF(D1459="労務費","単価がありません（設定の作業者名と同じ書き方に）","単価がありません"),IF(AND(ISNUMBER(J1459),NOT(ISNUMBER(F1459))),"数量がありません","金額がありません")),IF(NOT(ISNUMBER(A1459)),"日付がありません（月別集計に入りません）",IF(AND(ISNUMBER(F1459),ISNUMBER(J1459),ISNUMBER(I1459)),"数量×単価を使いました（金額の欄は使っていません）","")))))))</f>
        <v/>
      </c>
      <c r="N1459" s="91">
        <f>IF(AND(B1459&lt;&gt;"",B1459='案件カード'!$C$3),COUNTIF($B$5:B1459,'案件カード'!$C$3),"")</f>
        <v/>
      </c>
      <c r="O1459" s="91">
        <f>IF(ISNUMBER(K1459),IF(B1459="",K1459,IF(AND(ISNUMBER(MATCH(B1459,'案件'!$A$6:$A$105,0)),OR(D1459="材料費",D1459="労務費",D1459="外注費",D1459="経費")),0,K1459)),0)</f>
        <v/>
      </c>
    </row>
    <row r="1460" ht="16" customHeight="1">
      <c r="A1460" s="35" t="n"/>
      <c r="B1460" s="36" t="n"/>
      <c r="C1460" s="37">
        <f>IF(B1460="","",IFERROR(INDEX('案件'!$B$6:$B$105,MATCH(B1460,'案件'!$A$6:$A$105,0))&amp;"","（案件シートに無い番号）"))</f>
        <v/>
      </c>
      <c r="D1460" s="36" t="n"/>
      <c r="E1460" s="38" t="n"/>
      <c r="F1460" s="39" t="n"/>
      <c r="G1460" s="36" t="n"/>
      <c r="H1460" s="40" t="n"/>
      <c r="I1460" s="40" t="n"/>
      <c r="J1460" s="41">
        <f>IF(ISNUMBER(H1460),H1460,IF(AND(D1460="労務費",TRIM(E1460)&lt;&gt;""),IFERROR(INDEX('設定'!$G$12:$G$31,MATCH(TRIM(E1460),'設定'!$J$12:$J$31,0)),""),""))</f>
        <v/>
      </c>
      <c r="K1460" s="30">
        <f>IF(AND(ISNUMBER(F1460),ISNUMBER(J1460)),ROUND(F1460*J1460,0),IF(ISNUMBER(I1460),I1460,""))</f>
        <v/>
      </c>
      <c r="L1460" s="33" t="n"/>
      <c r="M1460" s="34">
        <f>IF(COUNTA(A1460:B1460,D1460:I1460,L1460)=0,"",IF(B1460="","案件番号がありません",IF(ISNA(MATCH(B1460,'案件'!$A$6:$A$105,0)),"案件シートに無い番号です",IF(NOT(OR(D1460="材料費",D1460="労務費",D1460="外注費",D1460="経費")),"費目を4つから選んでください",IF(K1460="",IF(AND(ISNUMBER(F1460),NOT(ISNUMBER(J1460))),IF(D1460="労務費","単価がありません（設定の作業者名と同じ書き方に）","単価がありません"),IF(AND(ISNUMBER(J1460),NOT(ISNUMBER(F1460))),"数量がありません","金額がありません")),IF(NOT(ISNUMBER(A1460)),"日付がありません（月別集計に入りません）",IF(AND(ISNUMBER(F1460),ISNUMBER(J1460),ISNUMBER(I1460)),"数量×単価を使いました（金額の欄は使っていません）","")))))))</f>
        <v/>
      </c>
      <c r="N1460" s="91">
        <f>IF(AND(B1460&lt;&gt;"",B1460='案件カード'!$C$3),COUNTIF($B$5:B1460,'案件カード'!$C$3),"")</f>
        <v/>
      </c>
      <c r="O1460" s="91">
        <f>IF(ISNUMBER(K1460),IF(B1460="",K1460,IF(AND(ISNUMBER(MATCH(B1460,'案件'!$A$6:$A$105,0)),OR(D1460="材料費",D1460="労務費",D1460="外注費",D1460="経費")),0,K1460)),0)</f>
        <v/>
      </c>
    </row>
    <row r="1461" ht="16" customHeight="1">
      <c r="A1461" s="35" t="n"/>
      <c r="B1461" s="36" t="n"/>
      <c r="C1461" s="37">
        <f>IF(B1461="","",IFERROR(INDEX('案件'!$B$6:$B$105,MATCH(B1461,'案件'!$A$6:$A$105,0))&amp;"","（案件シートに無い番号）"))</f>
        <v/>
      </c>
      <c r="D1461" s="36" t="n"/>
      <c r="E1461" s="38" t="n"/>
      <c r="F1461" s="39" t="n"/>
      <c r="G1461" s="36" t="n"/>
      <c r="H1461" s="40" t="n"/>
      <c r="I1461" s="40" t="n"/>
      <c r="J1461" s="41">
        <f>IF(ISNUMBER(H1461),H1461,IF(AND(D1461="労務費",TRIM(E1461)&lt;&gt;""),IFERROR(INDEX('設定'!$G$12:$G$31,MATCH(TRIM(E1461),'設定'!$J$12:$J$31,0)),""),""))</f>
        <v/>
      </c>
      <c r="K1461" s="30">
        <f>IF(AND(ISNUMBER(F1461),ISNUMBER(J1461)),ROUND(F1461*J1461,0),IF(ISNUMBER(I1461),I1461,""))</f>
        <v/>
      </c>
      <c r="L1461" s="33" t="n"/>
      <c r="M1461" s="34">
        <f>IF(COUNTA(A1461:B1461,D1461:I1461,L1461)=0,"",IF(B1461="","案件番号がありません",IF(ISNA(MATCH(B1461,'案件'!$A$6:$A$105,0)),"案件シートに無い番号です",IF(NOT(OR(D1461="材料費",D1461="労務費",D1461="外注費",D1461="経費")),"費目を4つから選んでください",IF(K1461="",IF(AND(ISNUMBER(F1461),NOT(ISNUMBER(J1461))),IF(D1461="労務費","単価がありません（設定の作業者名と同じ書き方に）","単価がありません"),IF(AND(ISNUMBER(J1461),NOT(ISNUMBER(F1461))),"数量がありません","金額がありません")),IF(NOT(ISNUMBER(A1461)),"日付がありません（月別集計に入りません）",IF(AND(ISNUMBER(F1461),ISNUMBER(J1461),ISNUMBER(I1461)),"数量×単価を使いました（金額の欄は使っていません）","")))))))</f>
        <v/>
      </c>
      <c r="N1461" s="91">
        <f>IF(AND(B1461&lt;&gt;"",B1461='案件カード'!$C$3),COUNTIF($B$5:B1461,'案件カード'!$C$3),"")</f>
        <v/>
      </c>
      <c r="O1461" s="91">
        <f>IF(ISNUMBER(K1461),IF(B1461="",K1461,IF(AND(ISNUMBER(MATCH(B1461,'案件'!$A$6:$A$105,0)),OR(D1461="材料費",D1461="労務費",D1461="外注費",D1461="経費")),0,K1461)),0)</f>
        <v/>
      </c>
    </row>
    <row r="1462" ht="16" customHeight="1">
      <c r="A1462" s="35" t="n"/>
      <c r="B1462" s="36" t="n"/>
      <c r="C1462" s="37">
        <f>IF(B1462="","",IFERROR(INDEX('案件'!$B$6:$B$105,MATCH(B1462,'案件'!$A$6:$A$105,0))&amp;"","（案件シートに無い番号）"))</f>
        <v/>
      </c>
      <c r="D1462" s="36" t="n"/>
      <c r="E1462" s="38" t="n"/>
      <c r="F1462" s="39" t="n"/>
      <c r="G1462" s="36" t="n"/>
      <c r="H1462" s="40" t="n"/>
      <c r="I1462" s="40" t="n"/>
      <c r="J1462" s="41">
        <f>IF(ISNUMBER(H1462),H1462,IF(AND(D1462="労務費",TRIM(E1462)&lt;&gt;""),IFERROR(INDEX('設定'!$G$12:$G$31,MATCH(TRIM(E1462),'設定'!$J$12:$J$31,0)),""),""))</f>
        <v/>
      </c>
      <c r="K1462" s="30">
        <f>IF(AND(ISNUMBER(F1462),ISNUMBER(J1462)),ROUND(F1462*J1462,0),IF(ISNUMBER(I1462),I1462,""))</f>
        <v/>
      </c>
      <c r="L1462" s="33" t="n"/>
      <c r="M1462" s="34">
        <f>IF(COUNTA(A1462:B1462,D1462:I1462,L1462)=0,"",IF(B1462="","案件番号がありません",IF(ISNA(MATCH(B1462,'案件'!$A$6:$A$105,0)),"案件シートに無い番号です",IF(NOT(OR(D1462="材料費",D1462="労務費",D1462="外注費",D1462="経費")),"費目を4つから選んでください",IF(K1462="",IF(AND(ISNUMBER(F1462),NOT(ISNUMBER(J1462))),IF(D1462="労務費","単価がありません（設定の作業者名と同じ書き方に）","単価がありません"),IF(AND(ISNUMBER(J1462),NOT(ISNUMBER(F1462))),"数量がありません","金額がありません")),IF(NOT(ISNUMBER(A1462)),"日付がありません（月別集計に入りません）",IF(AND(ISNUMBER(F1462),ISNUMBER(J1462),ISNUMBER(I1462)),"数量×単価を使いました（金額の欄は使っていません）","")))))))</f>
        <v/>
      </c>
      <c r="N1462" s="91">
        <f>IF(AND(B1462&lt;&gt;"",B1462='案件カード'!$C$3),COUNTIF($B$5:B1462,'案件カード'!$C$3),"")</f>
        <v/>
      </c>
      <c r="O1462" s="91">
        <f>IF(ISNUMBER(K1462),IF(B1462="",K1462,IF(AND(ISNUMBER(MATCH(B1462,'案件'!$A$6:$A$105,0)),OR(D1462="材料費",D1462="労務費",D1462="外注費",D1462="経費")),0,K1462)),0)</f>
        <v/>
      </c>
    </row>
    <row r="1463" ht="16" customHeight="1">
      <c r="A1463" s="35" t="n"/>
      <c r="B1463" s="36" t="n"/>
      <c r="C1463" s="37">
        <f>IF(B1463="","",IFERROR(INDEX('案件'!$B$6:$B$105,MATCH(B1463,'案件'!$A$6:$A$105,0))&amp;"","（案件シートに無い番号）"))</f>
        <v/>
      </c>
      <c r="D1463" s="36" t="n"/>
      <c r="E1463" s="38" t="n"/>
      <c r="F1463" s="39" t="n"/>
      <c r="G1463" s="36" t="n"/>
      <c r="H1463" s="40" t="n"/>
      <c r="I1463" s="40" t="n"/>
      <c r="J1463" s="41">
        <f>IF(ISNUMBER(H1463),H1463,IF(AND(D1463="労務費",TRIM(E1463)&lt;&gt;""),IFERROR(INDEX('設定'!$G$12:$G$31,MATCH(TRIM(E1463),'設定'!$J$12:$J$31,0)),""),""))</f>
        <v/>
      </c>
      <c r="K1463" s="30">
        <f>IF(AND(ISNUMBER(F1463),ISNUMBER(J1463)),ROUND(F1463*J1463,0),IF(ISNUMBER(I1463),I1463,""))</f>
        <v/>
      </c>
      <c r="L1463" s="33" t="n"/>
      <c r="M1463" s="34">
        <f>IF(COUNTA(A1463:B1463,D1463:I1463,L1463)=0,"",IF(B1463="","案件番号がありません",IF(ISNA(MATCH(B1463,'案件'!$A$6:$A$105,0)),"案件シートに無い番号です",IF(NOT(OR(D1463="材料費",D1463="労務費",D1463="外注費",D1463="経費")),"費目を4つから選んでください",IF(K1463="",IF(AND(ISNUMBER(F1463),NOT(ISNUMBER(J1463))),IF(D1463="労務費","単価がありません（設定の作業者名と同じ書き方に）","単価がありません"),IF(AND(ISNUMBER(J1463),NOT(ISNUMBER(F1463))),"数量がありません","金額がありません")),IF(NOT(ISNUMBER(A1463)),"日付がありません（月別集計に入りません）",IF(AND(ISNUMBER(F1463),ISNUMBER(J1463),ISNUMBER(I1463)),"数量×単価を使いました（金額の欄は使っていません）","")))))))</f>
        <v/>
      </c>
      <c r="N1463" s="91">
        <f>IF(AND(B1463&lt;&gt;"",B1463='案件カード'!$C$3),COUNTIF($B$5:B1463,'案件カード'!$C$3),"")</f>
        <v/>
      </c>
      <c r="O1463" s="91">
        <f>IF(ISNUMBER(K1463),IF(B1463="",K1463,IF(AND(ISNUMBER(MATCH(B1463,'案件'!$A$6:$A$105,0)),OR(D1463="材料費",D1463="労務費",D1463="外注費",D1463="経費")),0,K1463)),0)</f>
        <v/>
      </c>
    </row>
    <row r="1464" ht="16" customHeight="1">
      <c r="A1464" s="35" t="n"/>
      <c r="B1464" s="36" t="n"/>
      <c r="C1464" s="37">
        <f>IF(B1464="","",IFERROR(INDEX('案件'!$B$6:$B$105,MATCH(B1464,'案件'!$A$6:$A$105,0))&amp;"","（案件シートに無い番号）"))</f>
        <v/>
      </c>
      <c r="D1464" s="36" t="n"/>
      <c r="E1464" s="38" t="n"/>
      <c r="F1464" s="39" t="n"/>
      <c r="G1464" s="36" t="n"/>
      <c r="H1464" s="40" t="n"/>
      <c r="I1464" s="40" t="n"/>
      <c r="J1464" s="41">
        <f>IF(ISNUMBER(H1464),H1464,IF(AND(D1464="労務費",TRIM(E1464)&lt;&gt;""),IFERROR(INDEX('設定'!$G$12:$G$31,MATCH(TRIM(E1464),'設定'!$J$12:$J$31,0)),""),""))</f>
        <v/>
      </c>
      <c r="K1464" s="30">
        <f>IF(AND(ISNUMBER(F1464),ISNUMBER(J1464)),ROUND(F1464*J1464,0),IF(ISNUMBER(I1464),I1464,""))</f>
        <v/>
      </c>
      <c r="L1464" s="33" t="n"/>
      <c r="M1464" s="34">
        <f>IF(COUNTA(A1464:B1464,D1464:I1464,L1464)=0,"",IF(B1464="","案件番号がありません",IF(ISNA(MATCH(B1464,'案件'!$A$6:$A$105,0)),"案件シートに無い番号です",IF(NOT(OR(D1464="材料費",D1464="労務費",D1464="外注費",D1464="経費")),"費目を4つから選んでください",IF(K1464="",IF(AND(ISNUMBER(F1464),NOT(ISNUMBER(J1464))),IF(D1464="労務費","単価がありません（設定の作業者名と同じ書き方に）","単価がありません"),IF(AND(ISNUMBER(J1464),NOT(ISNUMBER(F1464))),"数量がありません","金額がありません")),IF(NOT(ISNUMBER(A1464)),"日付がありません（月別集計に入りません）",IF(AND(ISNUMBER(F1464),ISNUMBER(J1464),ISNUMBER(I1464)),"数量×単価を使いました（金額の欄は使っていません）","")))))))</f>
        <v/>
      </c>
      <c r="N1464" s="91">
        <f>IF(AND(B1464&lt;&gt;"",B1464='案件カード'!$C$3),COUNTIF($B$5:B1464,'案件カード'!$C$3),"")</f>
        <v/>
      </c>
      <c r="O1464" s="91">
        <f>IF(ISNUMBER(K1464),IF(B1464="",K1464,IF(AND(ISNUMBER(MATCH(B1464,'案件'!$A$6:$A$105,0)),OR(D1464="材料費",D1464="労務費",D1464="外注費",D1464="経費")),0,K1464)),0)</f>
        <v/>
      </c>
    </row>
    <row r="1465" ht="16" customHeight="1">
      <c r="A1465" s="35" t="n"/>
      <c r="B1465" s="36" t="n"/>
      <c r="C1465" s="37">
        <f>IF(B1465="","",IFERROR(INDEX('案件'!$B$6:$B$105,MATCH(B1465,'案件'!$A$6:$A$105,0))&amp;"","（案件シートに無い番号）"))</f>
        <v/>
      </c>
      <c r="D1465" s="36" t="n"/>
      <c r="E1465" s="38" t="n"/>
      <c r="F1465" s="39" t="n"/>
      <c r="G1465" s="36" t="n"/>
      <c r="H1465" s="40" t="n"/>
      <c r="I1465" s="40" t="n"/>
      <c r="J1465" s="41">
        <f>IF(ISNUMBER(H1465),H1465,IF(AND(D1465="労務費",TRIM(E1465)&lt;&gt;""),IFERROR(INDEX('設定'!$G$12:$G$31,MATCH(TRIM(E1465),'設定'!$J$12:$J$31,0)),""),""))</f>
        <v/>
      </c>
      <c r="K1465" s="30">
        <f>IF(AND(ISNUMBER(F1465),ISNUMBER(J1465)),ROUND(F1465*J1465,0),IF(ISNUMBER(I1465),I1465,""))</f>
        <v/>
      </c>
      <c r="L1465" s="33" t="n"/>
      <c r="M1465" s="34">
        <f>IF(COUNTA(A1465:B1465,D1465:I1465,L1465)=0,"",IF(B1465="","案件番号がありません",IF(ISNA(MATCH(B1465,'案件'!$A$6:$A$105,0)),"案件シートに無い番号です",IF(NOT(OR(D1465="材料費",D1465="労務費",D1465="外注費",D1465="経費")),"費目を4つから選んでください",IF(K1465="",IF(AND(ISNUMBER(F1465),NOT(ISNUMBER(J1465))),IF(D1465="労務費","単価がありません（設定の作業者名と同じ書き方に）","単価がありません"),IF(AND(ISNUMBER(J1465),NOT(ISNUMBER(F1465))),"数量がありません","金額がありません")),IF(NOT(ISNUMBER(A1465)),"日付がありません（月別集計に入りません）",IF(AND(ISNUMBER(F1465),ISNUMBER(J1465),ISNUMBER(I1465)),"数量×単価を使いました（金額の欄は使っていません）","")))))))</f>
        <v/>
      </c>
      <c r="N1465" s="91">
        <f>IF(AND(B1465&lt;&gt;"",B1465='案件カード'!$C$3),COUNTIF($B$5:B1465,'案件カード'!$C$3),"")</f>
        <v/>
      </c>
      <c r="O1465" s="91">
        <f>IF(ISNUMBER(K1465),IF(B1465="",K1465,IF(AND(ISNUMBER(MATCH(B1465,'案件'!$A$6:$A$105,0)),OR(D1465="材料費",D1465="労務費",D1465="外注費",D1465="経費")),0,K1465)),0)</f>
        <v/>
      </c>
    </row>
    <row r="1466" ht="16" customHeight="1">
      <c r="A1466" s="35" t="n"/>
      <c r="B1466" s="36" t="n"/>
      <c r="C1466" s="37">
        <f>IF(B1466="","",IFERROR(INDEX('案件'!$B$6:$B$105,MATCH(B1466,'案件'!$A$6:$A$105,0))&amp;"","（案件シートに無い番号）"))</f>
        <v/>
      </c>
      <c r="D1466" s="36" t="n"/>
      <c r="E1466" s="38" t="n"/>
      <c r="F1466" s="39" t="n"/>
      <c r="G1466" s="36" t="n"/>
      <c r="H1466" s="40" t="n"/>
      <c r="I1466" s="40" t="n"/>
      <c r="J1466" s="41">
        <f>IF(ISNUMBER(H1466),H1466,IF(AND(D1466="労務費",TRIM(E1466)&lt;&gt;""),IFERROR(INDEX('設定'!$G$12:$G$31,MATCH(TRIM(E1466),'設定'!$J$12:$J$31,0)),""),""))</f>
        <v/>
      </c>
      <c r="K1466" s="30">
        <f>IF(AND(ISNUMBER(F1466),ISNUMBER(J1466)),ROUND(F1466*J1466,0),IF(ISNUMBER(I1466),I1466,""))</f>
        <v/>
      </c>
      <c r="L1466" s="33" t="n"/>
      <c r="M1466" s="34">
        <f>IF(COUNTA(A1466:B1466,D1466:I1466,L1466)=0,"",IF(B1466="","案件番号がありません",IF(ISNA(MATCH(B1466,'案件'!$A$6:$A$105,0)),"案件シートに無い番号です",IF(NOT(OR(D1466="材料費",D1466="労務費",D1466="外注費",D1466="経費")),"費目を4つから選んでください",IF(K1466="",IF(AND(ISNUMBER(F1466),NOT(ISNUMBER(J1466))),IF(D1466="労務費","単価がありません（設定の作業者名と同じ書き方に）","単価がありません"),IF(AND(ISNUMBER(J1466),NOT(ISNUMBER(F1466))),"数量がありません","金額がありません")),IF(NOT(ISNUMBER(A1466)),"日付がありません（月別集計に入りません）",IF(AND(ISNUMBER(F1466),ISNUMBER(J1466),ISNUMBER(I1466)),"数量×単価を使いました（金額の欄は使っていません）","")))))))</f>
        <v/>
      </c>
      <c r="N1466" s="91">
        <f>IF(AND(B1466&lt;&gt;"",B1466='案件カード'!$C$3),COUNTIF($B$5:B1466,'案件カード'!$C$3),"")</f>
        <v/>
      </c>
      <c r="O1466" s="91">
        <f>IF(ISNUMBER(K1466),IF(B1466="",K1466,IF(AND(ISNUMBER(MATCH(B1466,'案件'!$A$6:$A$105,0)),OR(D1466="材料費",D1466="労務費",D1466="外注費",D1466="経費")),0,K1466)),0)</f>
        <v/>
      </c>
    </row>
    <row r="1467" ht="16" customHeight="1">
      <c r="A1467" s="35" t="n"/>
      <c r="B1467" s="36" t="n"/>
      <c r="C1467" s="37">
        <f>IF(B1467="","",IFERROR(INDEX('案件'!$B$6:$B$105,MATCH(B1467,'案件'!$A$6:$A$105,0))&amp;"","（案件シートに無い番号）"))</f>
        <v/>
      </c>
      <c r="D1467" s="36" t="n"/>
      <c r="E1467" s="38" t="n"/>
      <c r="F1467" s="39" t="n"/>
      <c r="G1467" s="36" t="n"/>
      <c r="H1467" s="40" t="n"/>
      <c r="I1467" s="40" t="n"/>
      <c r="J1467" s="41">
        <f>IF(ISNUMBER(H1467),H1467,IF(AND(D1467="労務費",TRIM(E1467)&lt;&gt;""),IFERROR(INDEX('設定'!$G$12:$G$31,MATCH(TRIM(E1467),'設定'!$J$12:$J$31,0)),""),""))</f>
        <v/>
      </c>
      <c r="K1467" s="30">
        <f>IF(AND(ISNUMBER(F1467),ISNUMBER(J1467)),ROUND(F1467*J1467,0),IF(ISNUMBER(I1467),I1467,""))</f>
        <v/>
      </c>
      <c r="L1467" s="33" t="n"/>
      <c r="M1467" s="34">
        <f>IF(COUNTA(A1467:B1467,D1467:I1467,L1467)=0,"",IF(B1467="","案件番号がありません",IF(ISNA(MATCH(B1467,'案件'!$A$6:$A$105,0)),"案件シートに無い番号です",IF(NOT(OR(D1467="材料費",D1467="労務費",D1467="外注費",D1467="経費")),"費目を4つから選んでください",IF(K1467="",IF(AND(ISNUMBER(F1467),NOT(ISNUMBER(J1467))),IF(D1467="労務費","単価がありません（設定の作業者名と同じ書き方に）","単価がありません"),IF(AND(ISNUMBER(J1467),NOT(ISNUMBER(F1467))),"数量がありません","金額がありません")),IF(NOT(ISNUMBER(A1467)),"日付がありません（月別集計に入りません）",IF(AND(ISNUMBER(F1467),ISNUMBER(J1467),ISNUMBER(I1467)),"数量×単価を使いました（金額の欄は使っていません）","")))))))</f>
        <v/>
      </c>
      <c r="N1467" s="91">
        <f>IF(AND(B1467&lt;&gt;"",B1467='案件カード'!$C$3),COUNTIF($B$5:B1467,'案件カード'!$C$3),"")</f>
        <v/>
      </c>
      <c r="O1467" s="91">
        <f>IF(ISNUMBER(K1467),IF(B1467="",K1467,IF(AND(ISNUMBER(MATCH(B1467,'案件'!$A$6:$A$105,0)),OR(D1467="材料費",D1467="労務費",D1467="外注費",D1467="経費")),0,K1467)),0)</f>
        <v/>
      </c>
    </row>
    <row r="1468" ht="16" customHeight="1">
      <c r="A1468" s="35" t="n"/>
      <c r="B1468" s="36" t="n"/>
      <c r="C1468" s="37">
        <f>IF(B1468="","",IFERROR(INDEX('案件'!$B$6:$B$105,MATCH(B1468,'案件'!$A$6:$A$105,0))&amp;"","（案件シートに無い番号）"))</f>
        <v/>
      </c>
      <c r="D1468" s="36" t="n"/>
      <c r="E1468" s="38" t="n"/>
      <c r="F1468" s="39" t="n"/>
      <c r="G1468" s="36" t="n"/>
      <c r="H1468" s="40" t="n"/>
      <c r="I1468" s="40" t="n"/>
      <c r="J1468" s="41">
        <f>IF(ISNUMBER(H1468),H1468,IF(AND(D1468="労務費",TRIM(E1468)&lt;&gt;""),IFERROR(INDEX('設定'!$G$12:$G$31,MATCH(TRIM(E1468),'設定'!$J$12:$J$31,0)),""),""))</f>
        <v/>
      </c>
      <c r="K1468" s="30">
        <f>IF(AND(ISNUMBER(F1468),ISNUMBER(J1468)),ROUND(F1468*J1468,0),IF(ISNUMBER(I1468),I1468,""))</f>
        <v/>
      </c>
      <c r="L1468" s="33" t="n"/>
      <c r="M1468" s="34">
        <f>IF(COUNTA(A1468:B1468,D1468:I1468,L1468)=0,"",IF(B1468="","案件番号がありません",IF(ISNA(MATCH(B1468,'案件'!$A$6:$A$105,0)),"案件シートに無い番号です",IF(NOT(OR(D1468="材料費",D1468="労務費",D1468="外注費",D1468="経費")),"費目を4つから選んでください",IF(K1468="",IF(AND(ISNUMBER(F1468),NOT(ISNUMBER(J1468))),IF(D1468="労務費","単価がありません（設定の作業者名と同じ書き方に）","単価がありません"),IF(AND(ISNUMBER(J1468),NOT(ISNUMBER(F1468))),"数量がありません","金額がありません")),IF(NOT(ISNUMBER(A1468)),"日付がありません（月別集計に入りません）",IF(AND(ISNUMBER(F1468),ISNUMBER(J1468),ISNUMBER(I1468)),"数量×単価を使いました（金額の欄は使っていません）","")))))))</f>
        <v/>
      </c>
      <c r="N1468" s="91">
        <f>IF(AND(B1468&lt;&gt;"",B1468='案件カード'!$C$3),COUNTIF($B$5:B1468,'案件カード'!$C$3),"")</f>
        <v/>
      </c>
      <c r="O1468" s="91">
        <f>IF(ISNUMBER(K1468),IF(B1468="",K1468,IF(AND(ISNUMBER(MATCH(B1468,'案件'!$A$6:$A$105,0)),OR(D1468="材料費",D1468="労務費",D1468="外注費",D1468="経費")),0,K1468)),0)</f>
        <v/>
      </c>
    </row>
    <row r="1469" ht="16" customHeight="1">
      <c r="A1469" s="35" t="n"/>
      <c r="B1469" s="36" t="n"/>
      <c r="C1469" s="37">
        <f>IF(B1469="","",IFERROR(INDEX('案件'!$B$6:$B$105,MATCH(B1469,'案件'!$A$6:$A$105,0))&amp;"","（案件シートに無い番号）"))</f>
        <v/>
      </c>
      <c r="D1469" s="36" t="n"/>
      <c r="E1469" s="38" t="n"/>
      <c r="F1469" s="39" t="n"/>
      <c r="G1469" s="36" t="n"/>
      <c r="H1469" s="40" t="n"/>
      <c r="I1469" s="40" t="n"/>
      <c r="J1469" s="41">
        <f>IF(ISNUMBER(H1469),H1469,IF(AND(D1469="労務費",TRIM(E1469)&lt;&gt;""),IFERROR(INDEX('設定'!$G$12:$G$31,MATCH(TRIM(E1469),'設定'!$J$12:$J$31,0)),""),""))</f>
        <v/>
      </c>
      <c r="K1469" s="30">
        <f>IF(AND(ISNUMBER(F1469),ISNUMBER(J1469)),ROUND(F1469*J1469,0),IF(ISNUMBER(I1469),I1469,""))</f>
        <v/>
      </c>
      <c r="L1469" s="33" t="n"/>
      <c r="M1469" s="34">
        <f>IF(COUNTA(A1469:B1469,D1469:I1469,L1469)=0,"",IF(B1469="","案件番号がありません",IF(ISNA(MATCH(B1469,'案件'!$A$6:$A$105,0)),"案件シートに無い番号です",IF(NOT(OR(D1469="材料費",D1469="労務費",D1469="外注費",D1469="経費")),"費目を4つから選んでください",IF(K1469="",IF(AND(ISNUMBER(F1469),NOT(ISNUMBER(J1469))),IF(D1469="労務費","単価がありません（設定の作業者名と同じ書き方に）","単価がありません"),IF(AND(ISNUMBER(J1469),NOT(ISNUMBER(F1469))),"数量がありません","金額がありません")),IF(NOT(ISNUMBER(A1469)),"日付がありません（月別集計に入りません）",IF(AND(ISNUMBER(F1469),ISNUMBER(J1469),ISNUMBER(I1469)),"数量×単価を使いました（金額の欄は使っていません）","")))))))</f>
        <v/>
      </c>
      <c r="N1469" s="91">
        <f>IF(AND(B1469&lt;&gt;"",B1469='案件カード'!$C$3),COUNTIF($B$5:B1469,'案件カード'!$C$3),"")</f>
        <v/>
      </c>
      <c r="O1469" s="91">
        <f>IF(ISNUMBER(K1469),IF(B1469="",K1469,IF(AND(ISNUMBER(MATCH(B1469,'案件'!$A$6:$A$105,0)),OR(D1469="材料費",D1469="労務費",D1469="外注費",D1469="経費")),0,K1469)),0)</f>
        <v/>
      </c>
    </row>
    <row r="1470" ht="16" customHeight="1">
      <c r="A1470" s="35" t="n"/>
      <c r="B1470" s="36" t="n"/>
      <c r="C1470" s="37">
        <f>IF(B1470="","",IFERROR(INDEX('案件'!$B$6:$B$105,MATCH(B1470,'案件'!$A$6:$A$105,0))&amp;"","（案件シートに無い番号）"))</f>
        <v/>
      </c>
      <c r="D1470" s="36" t="n"/>
      <c r="E1470" s="38" t="n"/>
      <c r="F1470" s="39" t="n"/>
      <c r="G1470" s="36" t="n"/>
      <c r="H1470" s="40" t="n"/>
      <c r="I1470" s="40" t="n"/>
      <c r="J1470" s="41">
        <f>IF(ISNUMBER(H1470),H1470,IF(AND(D1470="労務費",TRIM(E1470)&lt;&gt;""),IFERROR(INDEX('設定'!$G$12:$G$31,MATCH(TRIM(E1470),'設定'!$J$12:$J$31,0)),""),""))</f>
        <v/>
      </c>
      <c r="K1470" s="30">
        <f>IF(AND(ISNUMBER(F1470),ISNUMBER(J1470)),ROUND(F1470*J1470,0),IF(ISNUMBER(I1470),I1470,""))</f>
        <v/>
      </c>
      <c r="L1470" s="33" t="n"/>
      <c r="M1470" s="34">
        <f>IF(COUNTA(A1470:B1470,D1470:I1470,L1470)=0,"",IF(B1470="","案件番号がありません",IF(ISNA(MATCH(B1470,'案件'!$A$6:$A$105,0)),"案件シートに無い番号です",IF(NOT(OR(D1470="材料費",D1470="労務費",D1470="外注費",D1470="経費")),"費目を4つから選んでください",IF(K1470="",IF(AND(ISNUMBER(F1470),NOT(ISNUMBER(J1470))),IF(D1470="労務費","単価がありません（設定の作業者名と同じ書き方に）","単価がありません"),IF(AND(ISNUMBER(J1470),NOT(ISNUMBER(F1470))),"数量がありません","金額がありません")),IF(NOT(ISNUMBER(A1470)),"日付がありません（月別集計に入りません）",IF(AND(ISNUMBER(F1470),ISNUMBER(J1470),ISNUMBER(I1470)),"数量×単価を使いました（金額の欄は使っていません）","")))))))</f>
        <v/>
      </c>
      <c r="N1470" s="91">
        <f>IF(AND(B1470&lt;&gt;"",B1470='案件カード'!$C$3),COUNTIF($B$5:B1470,'案件カード'!$C$3),"")</f>
        <v/>
      </c>
      <c r="O1470" s="91">
        <f>IF(ISNUMBER(K1470),IF(B1470="",K1470,IF(AND(ISNUMBER(MATCH(B1470,'案件'!$A$6:$A$105,0)),OR(D1470="材料費",D1470="労務費",D1470="外注費",D1470="経費")),0,K1470)),0)</f>
        <v/>
      </c>
    </row>
    <row r="1471" ht="16" customHeight="1">
      <c r="A1471" s="35" t="n"/>
      <c r="B1471" s="36" t="n"/>
      <c r="C1471" s="37">
        <f>IF(B1471="","",IFERROR(INDEX('案件'!$B$6:$B$105,MATCH(B1471,'案件'!$A$6:$A$105,0))&amp;"","（案件シートに無い番号）"))</f>
        <v/>
      </c>
      <c r="D1471" s="36" t="n"/>
      <c r="E1471" s="38" t="n"/>
      <c r="F1471" s="39" t="n"/>
      <c r="G1471" s="36" t="n"/>
      <c r="H1471" s="40" t="n"/>
      <c r="I1471" s="40" t="n"/>
      <c r="J1471" s="41">
        <f>IF(ISNUMBER(H1471),H1471,IF(AND(D1471="労務費",TRIM(E1471)&lt;&gt;""),IFERROR(INDEX('設定'!$G$12:$G$31,MATCH(TRIM(E1471),'設定'!$J$12:$J$31,0)),""),""))</f>
        <v/>
      </c>
      <c r="K1471" s="30">
        <f>IF(AND(ISNUMBER(F1471),ISNUMBER(J1471)),ROUND(F1471*J1471,0),IF(ISNUMBER(I1471),I1471,""))</f>
        <v/>
      </c>
      <c r="L1471" s="33" t="n"/>
      <c r="M1471" s="34">
        <f>IF(COUNTA(A1471:B1471,D1471:I1471,L1471)=0,"",IF(B1471="","案件番号がありません",IF(ISNA(MATCH(B1471,'案件'!$A$6:$A$105,0)),"案件シートに無い番号です",IF(NOT(OR(D1471="材料費",D1471="労務費",D1471="外注費",D1471="経費")),"費目を4つから選んでください",IF(K1471="",IF(AND(ISNUMBER(F1471),NOT(ISNUMBER(J1471))),IF(D1471="労務費","単価がありません（設定の作業者名と同じ書き方に）","単価がありません"),IF(AND(ISNUMBER(J1471),NOT(ISNUMBER(F1471))),"数量がありません","金額がありません")),IF(NOT(ISNUMBER(A1471)),"日付がありません（月別集計に入りません）",IF(AND(ISNUMBER(F1471),ISNUMBER(J1471),ISNUMBER(I1471)),"数量×単価を使いました（金額の欄は使っていません）","")))))))</f>
        <v/>
      </c>
      <c r="N1471" s="91">
        <f>IF(AND(B1471&lt;&gt;"",B1471='案件カード'!$C$3),COUNTIF($B$5:B1471,'案件カード'!$C$3),"")</f>
        <v/>
      </c>
      <c r="O1471" s="91">
        <f>IF(ISNUMBER(K1471),IF(B1471="",K1471,IF(AND(ISNUMBER(MATCH(B1471,'案件'!$A$6:$A$105,0)),OR(D1471="材料費",D1471="労務費",D1471="外注費",D1471="経費")),0,K1471)),0)</f>
        <v/>
      </c>
    </row>
    <row r="1472" ht="16" customHeight="1">
      <c r="A1472" s="35" t="n"/>
      <c r="B1472" s="36" t="n"/>
      <c r="C1472" s="37">
        <f>IF(B1472="","",IFERROR(INDEX('案件'!$B$6:$B$105,MATCH(B1472,'案件'!$A$6:$A$105,0))&amp;"","（案件シートに無い番号）"))</f>
        <v/>
      </c>
      <c r="D1472" s="36" t="n"/>
      <c r="E1472" s="38" t="n"/>
      <c r="F1472" s="39" t="n"/>
      <c r="G1472" s="36" t="n"/>
      <c r="H1472" s="40" t="n"/>
      <c r="I1472" s="40" t="n"/>
      <c r="J1472" s="41">
        <f>IF(ISNUMBER(H1472),H1472,IF(AND(D1472="労務費",TRIM(E1472)&lt;&gt;""),IFERROR(INDEX('設定'!$G$12:$G$31,MATCH(TRIM(E1472),'設定'!$J$12:$J$31,0)),""),""))</f>
        <v/>
      </c>
      <c r="K1472" s="30">
        <f>IF(AND(ISNUMBER(F1472),ISNUMBER(J1472)),ROUND(F1472*J1472,0),IF(ISNUMBER(I1472),I1472,""))</f>
        <v/>
      </c>
      <c r="L1472" s="33" t="n"/>
      <c r="M1472" s="34">
        <f>IF(COUNTA(A1472:B1472,D1472:I1472,L1472)=0,"",IF(B1472="","案件番号がありません",IF(ISNA(MATCH(B1472,'案件'!$A$6:$A$105,0)),"案件シートに無い番号です",IF(NOT(OR(D1472="材料費",D1472="労務費",D1472="外注費",D1472="経費")),"費目を4つから選んでください",IF(K1472="",IF(AND(ISNUMBER(F1472),NOT(ISNUMBER(J1472))),IF(D1472="労務費","単価がありません（設定の作業者名と同じ書き方に）","単価がありません"),IF(AND(ISNUMBER(J1472),NOT(ISNUMBER(F1472))),"数量がありません","金額がありません")),IF(NOT(ISNUMBER(A1472)),"日付がありません（月別集計に入りません）",IF(AND(ISNUMBER(F1472),ISNUMBER(J1472),ISNUMBER(I1472)),"数量×単価を使いました（金額の欄は使っていません）","")))))))</f>
        <v/>
      </c>
      <c r="N1472" s="91">
        <f>IF(AND(B1472&lt;&gt;"",B1472='案件カード'!$C$3),COUNTIF($B$5:B1472,'案件カード'!$C$3),"")</f>
        <v/>
      </c>
      <c r="O1472" s="91">
        <f>IF(ISNUMBER(K1472),IF(B1472="",K1472,IF(AND(ISNUMBER(MATCH(B1472,'案件'!$A$6:$A$105,0)),OR(D1472="材料費",D1472="労務費",D1472="外注費",D1472="経費")),0,K1472)),0)</f>
        <v/>
      </c>
    </row>
    <row r="1473" ht="16" customHeight="1">
      <c r="A1473" s="35" t="n"/>
      <c r="B1473" s="36" t="n"/>
      <c r="C1473" s="37">
        <f>IF(B1473="","",IFERROR(INDEX('案件'!$B$6:$B$105,MATCH(B1473,'案件'!$A$6:$A$105,0))&amp;"","（案件シートに無い番号）"))</f>
        <v/>
      </c>
      <c r="D1473" s="36" t="n"/>
      <c r="E1473" s="38" t="n"/>
      <c r="F1473" s="39" t="n"/>
      <c r="G1473" s="36" t="n"/>
      <c r="H1473" s="40" t="n"/>
      <c r="I1473" s="40" t="n"/>
      <c r="J1473" s="41">
        <f>IF(ISNUMBER(H1473),H1473,IF(AND(D1473="労務費",TRIM(E1473)&lt;&gt;""),IFERROR(INDEX('設定'!$G$12:$G$31,MATCH(TRIM(E1473),'設定'!$J$12:$J$31,0)),""),""))</f>
        <v/>
      </c>
      <c r="K1473" s="30">
        <f>IF(AND(ISNUMBER(F1473),ISNUMBER(J1473)),ROUND(F1473*J1473,0),IF(ISNUMBER(I1473),I1473,""))</f>
        <v/>
      </c>
      <c r="L1473" s="33" t="n"/>
      <c r="M1473" s="34">
        <f>IF(COUNTA(A1473:B1473,D1473:I1473,L1473)=0,"",IF(B1473="","案件番号がありません",IF(ISNA(MATCH(B1473,'案件'!$A$6:$A$105,0)),"案件シートに無い番号です",IF(NOT(OR(D1473="材料費",D1473="労務費",D1473="外注費",D1473="経費")),"費目を4つから選んでください",IF(K1473="",IF(AND(ISNUMBER(F1473),NOT(ISNUMBER(J1473))),IF(D1473="労務費","単価がありません（設定の作業者名と同じ書き方に）","単価がありません"),IF(AND(ISNUMBER(J1473),NOT(ISNUMBER(F1473))),"数量がありません","金額がありません")),IF(NOT(ISNUMBER(A1473)),"日付がありません（月別集計に入りません）",IF(AND(ISNUMBER(F1473),ISNUMBER(J1473),ISNUMBER(I1473)),"数量×単価を使いました（金額の欄は使っていません）","")))))))</f>
        <v/>
      </c>
      <c r="N1473" s="91">
        <f>IF(AND(B1473&lt;&gt;"",B1473='案件カード'!$C$3),COUNTIF($B$5:B1473,'案件カード'!$C$3),"")</f>
        <v/>
      </c>
      <c r="O1473" s="91">
        <f>IF(ISNUMBER(K1473),IF(B1473="",K1473,IF(AND(ISNUMBER(MATCH(B1473,'案件'!$A$6:$A$105,0)),OR(D1473="材料費",D1473="労務費",D1473="外注費",D1473="経費")),0,K1473)),0)</f>
        <v/>
      </c>
    </row>
    <row r="1474" ht="16" customHeight="1">
      <c r="A1474" s="35" t="n"/>
      <c r="B1474" s="36" t="n"/>
      <c r="C1474" s="37">
        <f>IF(B1474="","",IFERROR(INDEX('案件'!$B$6:$B$105,MATCH(B1474,'案件'!$A$6:$A$105,0))&amp;"","（案件シートに無い番号）"))</f>
        <v/>
      </c>
      <c r="D1474" s="36" t="n"/>
      <c r="E1474" s="38" t="n"/>
      <c r="F1474" s="39" t="n"/>
      <c r="G1474" s="36" t="n"/>
      <c r="H1474" s="40" t="n"/>
      <c r="I1474" s="40" t="n"/>
      <c r="J1474" s="41">
        <f>IF(ISNUMBER(H1474),H1474,IF(AND(D1474="労務費",TRIM(E1474)&lt;&gt;""),IFERROR(INDEX('設定'!$G$12:$G$31,MATCH(TRIM(E1474),'設定'!$J$12:$J$31,0)),""),""))</f>
        <v/>
      </c>
      <c r="K1474" s="30">
        <f>IF(AND(ISNUMBER(F1474),ISNUMBER(J1474)),ROUND(F1474*J1474,0),IF(ISNUMBER(I1474),I1474,""))</f>
        <v/>
      </c>
      <c r="L1474" s="33" t="n"/>
      <c r="M1474" s="34">
        <f>IF(COUNTA(A1474:B1474,D1474:I1474,L1474)=0,"",IF(B1474="","案件番号がありません",IF(ISNA(MATCH(B1474,'案件'!$A$6:$A$105,0)),"案件シートに無い番号です",IF(NOT(OR(D1474="材料費",D1474="労務費",D1474="外注費",D1474="経費")),"費目を4つから選んでください",IF(K1474="",IF(AND(ISNUMBER(F1474),NOT(ISNUMBER(J1474))),IF(D1474="労務費","単価がありません（設定の作業者名と同じ書き方に）","単価がありません"),IF(AND(ISNUMBER(J1474),NOT(ISNUMBER(F1474))),"数量がありません","金額がありません")),IF(NOT(ISNUMBER(A1474)),"日付がありません（月別集計に入りません）",IF(AND(ISNUMBER(F1474),ISNUMBER(J1474),ISNUMBER(I1474)),"数量×単価を使いました（金額の欄は使っていません）","")))))))</f>
        <v/>
      </c>
      <c r="N1474" s="91">
        <f>IF(AND(B1474&lt;&gt;"",B1474='案件カード'!$C$3),COUNTIF($B$5:B1474,'案件カード'!$C$3),"")</f>
        <v/>
      </c>
      <c r="O1474" s="91">
        <f>IF(ISNUMBER(K1474),IF(B1474="",K1474,IF(AND(ISNUMBER(MATCH(B1474,'案件'!$A$6:$A$105,0)),OR(D1474="材料費",D1474="労務費",D1474="外注費",D1474="経費")),0,K1474)),0)</f>
        <v/>
      </c>
    </row>
    <row r="1475" ht="16" customHeight="1">
      <c r="A1475" s="35" t="n"/>
      <c r="B1475" s="36" t="n"/>
      <c r="C1475" s="37">
        <f>IF(B1475="","",IFERROR(INDEX('案件'!$B$6:$B$105,MATCH(B1475,'案件'!$A$6:$A$105,0))&amp;"","（案件シートに無い番号）"))</f>
        <v/>
      </c>
      <c r="D1475" s="36" t="n"/>
      <c r="E1475" s="38" t="n"/>
      <c r="F1475" s="39" t="n"/>
      <c r="G1475" s="36" t="n"/>
      <c r="H1475" s="40" t="n"/>
      <c r="I1475" s="40" t="n"/>
      <c r="J1475" s="41">
        <f>IF(ISNUMBER(H1475),H1475,IF(AND(D1475="労務費",TRIM(E1475)&lt;&gt;""),IFERROR(INDEX('設定'!$G$12:$G$31,MATCH(TRIM(E1475),'設定'!$J$12:$J$31,0)),""),""))</f>
        <v/>
      </c>
      <c r="K1475" s="30">
        <f>IF(AND(ISNUMBER(F1475),ISNUMBER(J1475)),ROUND(F1475*J1475,0),IF(ISNUMBER(I1475),I1475,""))</f>
        <v/>
      </c>
      <c r="L1475" s="33" t="n"/>
      <c r="M1475" s="34">
        <f>IF(COUNTA(A1475:B1475,D1475:I1475,L1475)=0,"",IF(B1475="","案件番号がありません",IF(ISNA(MATCH(B1475,'案件'!$A$6:$A$105,0)),"案件シートに無い番号です",IF(NOT(OR(D1475="材料費",D1475="労務費",D1475="外注費",D1475="経費")),"費目を4つから選んでください",IF(K1475="",IF(AND(ISNUMBER(F1475),NOT(ISNUMBER(J1475))),IF(D1475="労務費","単価がありません（設定の作業者名と同じ書き方に）","単価がありません"),IF(AND(ISNUMBER(J1475),NOT(ISNUMBER(F1475))),"数量がありません","金額がありません")),IF(NOT(ISNUMBER(A1475)),"日付がありません（月別集計に入りません）",IF(AND(ISNUMBER(F1475),ISNUMBER(J1475),ISNUMBER(I1475)),"数量×単価を使いました（金額の欄は使っていません）","")))))))</f>
        <v/>
      </c>
      <c r="N1475" s="91">
        <f>IF(AND(B1475&lt;&gt;"",B1475='案件カード'!$C$3),COUNTIF($B$5:B1475,'案件カード'!$C$3),"")</f>
        <v/>
      </c>
      <c r="O1475" s="91">
        <f>IF(ISNUMBER(K1475),IF(B1475="",K1475,IF(AND(ISNUMBER(MATCH(B1475,'案件'!$A$6:$A$105,0)),OR(D1475="材料費",D1475="労務費",D1475="外注費",D1475="経費")),0,K1475)),0)</f>
        <v/>
      </c>
    </row>
    <row r="1476" ht="16" customHeight="1">
      <c r="A1476" s="35" t="n"/>
      <c r="B1476" s="36" t="n"/>
      <c r="C1476" s="37">
        <f>IF(B1476="","",IFERROR(INDEX('案件'!$B$6:$B$105,MATCH(B1476,'案件'!$A$6:$A$105,0))&amp;"","（案件シートに無い番号）"))</f>
        <v/>
      </c>
      <c r="D1476" s="36" t="n"/>
      <c r="E1476" s="38" t="n"/>
      <c r="F1476" s="39" t="n"/>
      <c r="G1476" s="36" t="n"/>
      <c r="H1476" s="40" t="n"/>
      <c r="I1476" s="40" t="n"/>
      <c r="J1476" s="41">
        <f>IF(ISNUMBER(H1476),H1476,IF(AND(D1476="労務費",TRIM(E1476)&lt;&gt;""),IFERROR(INDEX('設定'!$G$12:$G$31,MATCH(TRIM(E1476),'設定'!$J$12:$J$31,0)),""),""))</f>
        <v/>
      </c>
      <c r="K1476" s="30">
        <f>IF(AND(ISNUMBER(F1476),ISNUMBER(J1476)),ROUND(F1476*J1476,0),IF(ISNUMBER(I1476),I1476,""))</f>
        <v/>
      </c>
      <c r="L1476" s="33" t="n"/>
      <c r="M1476" s="34">
        <f>IF(COUNTA(A1476:B1476,D1476:I1476,L1476)=0,"",IF(B1476="","案件番号がありません",IF(ISNA(MATCH(B1476,'案件'!$A$6:$A$105,0)),"案件シートに無い番号です",IF(NOT(OR(D1476="材料費",D1476="労務費",D1476="外注費",D1476="経費")),"費目を4つから選んでください",IF(K1476="",IF(AND(ISNUMBER(F1476),NOT(ISNUMBER(J1476))),IF(D1476="労務費","単価がありません（設定の作業者名と同じ書き方に）","単価がありません"),IF(AND(ISNUMBER(J1476),NOT(ISNUMBER(F1476))),"数量がありません","金額がありません")),IF(NOT(ISNUMBER(A1476)),"日付がありません（月別集計に入りません）",IF(AND(ISNUMBER(F1476),ISNUMBER(J1476),ISNUMBER(I1476)),"数量×単価を使いました（金額の欄は使っていません）","")))))))</f>
        <v/>
      </c>
      <c r="N1476" s="91">
        <f>IF(AND(B1476&lt;&gt;"",B1476='案件カード'!$C$3),COUNTIF($B$5:B1476,'案件カード'!$C$3),"")</f>
        <v/>
      </c>
      <c r="O1476" s="91">
        <f>IF(ISNUMBER(K1476),IF(B1476="",K1476,IF(AND(ISNUMBER(MATCH(B1476,'案件'!$A$6:$A$105,0)),OR(D1476="材料費",D1476="労務費",D1476="外注費",D1476="経費")),0,K1476)),0)</f>
        <v/>
      </c>
    </row>
    <row r="1477" ht="16" customHeight="1">
      <c r="A1477" s="35" t="n"/>
      <c r="B1477" s="36" t="n"/>
      <c r="C1477" s="37">
        <f>IF(B1477="","",IFERROR(INDEX('案件'!$B$6:$B$105,MATCH(B1477,'案件'!$A$6:$A$105,0))&amp;"","（案件シートに無い番号）"))</f>
        <v/>
      </c>
      <c r="D1477" s="36" t="n"/>
      <c r="E1477" s="38" t="n"/>
      <c r="F1477" s="39" t="n"/>
      <c r="G1477" s="36" t="n"/>
      <c r="H1477" s="40" t="n"/>
      <c r="I1477" s="40" t="n"/>
      <c r="J1477" s="41">
        <f>IF(ISNUMBER(H1477),H1477,IF(AND(D1477="労務費",TRIM(E1477)&lt;&gt;""),IFERROR(INDEX('設定'!$G$12:$G$31,MATCH(TRIM(E1477),'設定'!$J$12:$J$31,0)),""),""))</f>
        <v/>
      </c>
      <c r="K1477" s="30">
        <f>IF(AND(ISNUMBER(F1477),ISNUMBER(J1477)),ROUND(F1477*J1477,0),IF(ISNUMBER(I1477),I1477,""))</f>
        <v/>
      </c>
      <c r="L1477" s="33" t="n"/>
      <c r="M1477" s="34">
        <f>IF(COUNTA(A1477:B1477,D1477:I1477,L1477)=0,"",IF(B1477="","案件番号がありません",IF(ISNA(MATCH(B1477,'案件'!$A$6:$A$105,0)),"案件シートに無い番号です",IF(NOT(OR(D1477="材料費",D1477="労務費",D1477="外注費",D1477="経費")),"費目を4つから選んでください",IF(K1477="",IF(AND(ISNUMBER(F1477),NOT(ISNUMBER(J1477))),IF(D1477="労務費","単価がありません（設定の作業者名と同じ書き方に）","単価がありません"),IF(AND(ISNUMBER(J1477),NOT(ISNUMBER(F1477))),"数量がありません","金額がありません")),IF(NOT(ISNUMBER(A1477)),"日付がありません（月別集計に入りません）",IF(AND(ISNUMBER(F1477),ISNUMBER(J1477),ISNUMBER(I1477)),"数量×単価を使いました（金額の欄は使っていません）","")))))))</f>
        <v/>
      </c>
      <c r="N1477" s="91">
        <f>IF(AND(B1477&lt;&gt;"",B1477='案件カード'!$C$3),COUNTIF($B$5:B1477,'案件カード'!$C$3),"")</f>
        <v/>
      </c>
      <c r="O1477" s="91">
        <f>IF(ISNUMBER(K1477),IF(B1477="",K1477,IF(AND(ISNUMBER(MATCH(B1477,'案件'!$A$6:$A$105,0)),OR(D1477="材料費",D1477="労務費",D1477="外注費",D1477="経費")),0,K1477)),0)</f>
        <v/>
      </c>
    </row>
    <row r="1478" ht="16" customHeight="1">
      <c r="A1478" s="35" t="n"/>
      <c r="B1478" s="36" t="n"/>
      <c r="C1478" s="37">
        <f>IF(B1478="","",IFERROR(INDEX('案件'!$B$6:$B$105,MATCH(B1478,'案件'!$A$6:$A$105,0))&amp;"","（案件シートに無い番号）"))</f>
        <v/>
      </c>
      <c r="D1478" s="36" t="n"/>
      <c r="E1478" s="38" t="n"/>
      <c r="F1478" s="39" t="n"/>
      <c r="G1478" s="36" t="n"/>
      <c r="H1478" s="40" t="n"/>
      <c r="I1478" s="40" t="n"/>
      <c r="J1478" s="41">
        <f>IF(ISNUMBER(H1478),H1478,IF(AND(D1478="労務費",TRIM(E1478)&lt;&gt;""),IFERROR(INDEX('設定'!$G$12:$G$31,MATCH(TRIM(E1478),'設定'!$J$12:$J$31,0)),""),""))</f>
        <v/>
      </c>
      <c r="K1478" s="30">
        <f>IF(AND(ISNUMBER(F1478),ISNUMBER(J1478)),ROUND(F1478*J1478,0),IF(ISNUMBER(I1478),I1478,""))</f>
        <v/>
      </c>
      <c r="L1478" s="33" t="n"/>
      <c r="M1478" s="34">
        <f>IF(COUNTA(A1478:B1478,D1478:I1478,L1478)=0,"",IF(B1478="","案件番号がありません",IF(ISNA(MATCH(B1478,'案件'!$A$6:$A$105,0)),"案件シートに無い番号です",IF(NOT(OR(D1478="材料費",D1478="労務費",D1478="外注費",D1478="経費")),"費目を4つから選んでください",IF(K1478="",IF(AND(ISNUMBER(F1478),NOT(ISNUMBER(J1478))),IF(D1478="労務費","単価がありません（設定の作業者名と同じ書き方に）","単価がありません"),IF(AND(ISNUMBER(J1478),NOT(ISNUMBER(F1478))),"数量がありません","金額がありません")),IF(NOT(ISNUMBER(A1478)),"日付がありません（月別集計に入りません）",IF(AND(ISNUMBER(F1478),ISNUMBER(J1478),ISNUMBER(I1478)),"数量×単価を使いました（金額の欄は使っていません）","")))))))</f>
        <v/>
      </c>
      <c r="N1478" s="91">
        <f>IF(AND(B1478&lt;&gt;"",B1478='案件カード'!$C$3),COUNTIF($B$5:B1478,'案件カード'!$C$3),"")</f>
        <v/>
      </c>
      <c r="O1478" s="91">
        <f>IF(ISNUMBER(K1478),IF(B1478="",K1478,IF(AND(ISNUMBER(MATCH(B1478,'案件'!$A$6:$A$105,0)),OR(D1478="材料費",D1478="労務費",D1478="外注費",D1478="経費")),0,K1478)),0)</f>
        <v/>
      </c>
    </row>
    <row r="1479" ht="16" customHeight="1">
      <c r="A1479" s="35" t="n"/>
      <c r="B1479" s="36" t="n"/>
      <c r="C1479" s="37">
        <f>IF(B1479="","",IFERROR(INDEX('案件'!$B$6:$B$105,MATCH(B1479,'案件'!$A$6:$A$105,0))&amp;"","（案件シートに無い番号）"))</f>
        <v/>
      </c>
      <c r="D1479" s="36" t="n"/>
      <c r="E1479" s="38" t="n"/>
      <c r="F1479" s="39" t="n"/>
      <c r="G1479" s="36" t="n"/>
      <c r="H1479" s="40" t="n"/>
      <c r="I1479" s="40" t="n"/>
      <c r="J1479" s="41">
        <f>IF(ISNUMBER(H1479),H1479,IF(AND(D1479="労務費",TRIM(E1479)&lt;&gt;""),IFERROR(INDEX('設定'!$G$12:$G$31,MATCH(TRIM(E1479),'設定'!$J$12:$J$31,0)),""),""))</f>
        <v/>
      </c>
      <c r="K1479" s="30">
        <f>IF(AND(ISNUMBER(F1479),ISNUMBER(J1479)),ROUND(F1479*J1479,0),IF(ISNUMBER(I1479),I1479,""))</f>
        <v/>
      </c>
      <c r="L1479" s="33" t="n"/>
      <c r="M1479" s="34">
        <f>IF(COUNTA(A1479:B1479,D1479:I1479,L1479)=0,"",IF(B1479="","案件番号がありません",IF(ISNA(MATCH(B1479,'案件'!$A$6:$A$105,0)),"案件シートに無い番号です",IF(NOT(OR(D1479="材料費",D1479="労務費",D1479="外注費",D1479="経費")),"費目を4つから選んでください",IF(K1479="",IF(AND(ISNUMBER(F1479),NOT(ISNUMBER(J1479))),IF(D1479="労務費","単価がありません（設定の作業者名と同じ書き方に）","単価がありません"),IF(AND(ISNUMBER(J1479),NOT(ISNUMBER(F1479))),"数量がありません","金額がありません")),IF(NOT(ISNUMBER(A1479)),"日付がありません（月別集計に入りません）",IF(AND(ISNUMBER(F1479),ISNUMBER(J1479),ISNUMBER(I1479)),"数量×単価を使いました（金額の欄は使っていません）","")))))))</f>
        <v/>
      </c>
      <c r="N1479" s="91">
        <f>IF(AND(B1479&lt;&gt;"",B1479='案件カード'!$C$3),COUNTIF($B$5:B1479,'案件カード'!$C$3),"")</f>
        <v/>
      </c>
      <c r="O1479" s="91">
        <f>IF(ISNUMBER(K1479),IF(B1479="",K1479,IF(AND(ISNUMBER(MATCH(B1479,'案件'!$A$6:$A$105,0)),OR(D1479="材料費",D1479="労務費",D1479="外注費",D1479="経費")),0,K1479)),0)</f>
        <v/>
      </c>
    </row>
    <row r="1480" ht="16" customHeight="1">
      <c r="A1480" s="35" t="n"/>
      <c r="B1480" s="36" t="n"/>
      <c r="C1480" s="37">
        <f>IF(B1480="","",IFERROR(INDEX('案件'!$B$6:$B$105,MATCH(B1480,'案件'!$A$6:$A$105,0))&amp;"","（案件シートに無い番号）"))</f>
        <v/>
      </c>
      <c r="D1480" s="36" t="n"/>
      <c r="E1480" s="38" t="n"/>
      <c r="F1480" s="39" t="n"/>
      <c r="G1480" s="36" t="n"/>
      <c r="H1480" s="40" t="n"/>
      <c r="I1480" s="40" t="n"/>
      <c r="J1480" s="41">
        <f>IF(ISNUMBER(H1480),H1480,IF(AND(D1480="労務費",TRIM(E1480)&lt;&gt;""),IFERROR(INDEX('設定'!$G$12:$G$31,MATCH(TRIM(E1480),'設定'!$J$12:$J$31,0)),""),""))</f>
        <v/>
      </c>
      <c r="K1480" s="30">
        <f>IF(AND(ISNUMBER(F1480),ISNUMBER(J1480)),ROUND(F1480*J1480,0),IF(ISNUMBER(I1480),I1480,""))</f>
        <v/>
      </c>
      <c r="L1480" s="33" t="n"/>
      <c r="M1480" s="34">
        <f>IF(COUNTA(A1480:B1480,D1480:I1480,L1480)=0,"",IF(B1480="","案件番号がありません",IF(ISNA(MATCH(B1480,'案件'!$A$6:$A$105,0)),"案件シートに無い番号です",IF(NOT(OR(D1480="材料費",D1480="労務費",D1480="外注費",D1480="経費")),"費目を4つから選んでください",IF(K1480="",IF(AND(ISNUMBER(F1480),NOT(ISNUMBER(J1480))),IF(D1480="労務費","単価がありません（設定の作業者名と同じ書き方に）","単価がありません"),IF(AND(ISNUMBER(J1480),NOT(ISNUMBER(F1480))),"数量がありません","金額がありません")),IF(NOT(ISNUMBER(A1480)),"日付がありません（月別集計に入りません）",IF(AND(ISNUMBER(F1480),ISNUMBER(J1480),ISNUMBER(I1480)),"数量×単価を使いました（金額の欄は使っていません）","")))))))</f>
        <v/>
      </c>
      <c r="N1480" s="91">
        <f>IF(AND(B1480&lt;&gt;"",B1480='案件カード'!$C$3),COUNTIF($B$5:B1480,'案件カード'!$C$3),"")</f>
        <v/>
      </c>
      <c r="O1480" s="91">
        <f>IF(ISNUMBER(K1480),IF(B1480="",K1480,IF(AND(ISNUMBER(MATCH(B1480,'案件'!$A$6:$A$105,0)),OR(D1480="材料費",D1480="労務費",D1480="外注費",D1480="経費")),0,K1480)),0)</f>
        <v/>
      </c>
    </row>
    <row r="1481" ht="16" customHeight="1">
      <c r="A1481" s="35" t="n"/>
      <c r="B1481" s="36" t="n"/>
      <c r="C1481" s="37">
        <f>IF(B1481="","",IFERROR(INDEX('案件'!$B$6:$B$105,MATCH(B1481,'案件'!$A$6:$A$105,0))&amp;"","（案件シートに無い番号）"))</f>
        <v/>
      </c>
      <c r="D1481" s="36" t="n"/>
      <c r="E1481" s="38" t="n"/>
      <c r="F1481" s="39" t="n"/>
      <c r="G1481" s="36" t="n"/>
      <c r="H1481" s="40" t="n"/>
      <c r="I1481" s="40" t="n"/>
      <c r="J1481" s="41">
        <f>IF(ISNUMBER(H1481),H1481,IF(AND(D1481="労務費",TRIM(E1481)&lt;&gt;""),IFERROR(INDEX('設定'!$G$12:$G$31,MATCH(TRIM(E1481),'設定'!$J$12:$J$31,0)),""),""))</f>
        <v/>
      </c>
      <c r="K1481" s="30">
        <f>IF(AND(ISNUMBER(F1481),ISNUMBER(J1481)),ROUND(F1481*J1481,0),IF(ISNUMBER(I1481),I1481,""))</f>
        <v/>
      </c>
      <c r="L1481" s="33" t="n"/>
      <c r="M1481" s="34">
        <f>IF(COUNTA(A1481:B1481,D1481:I1481,L1481)=0,"",IF(B1481="","案件番号がありません",IF(ISNA(MATCH(B1481,'案件'!$A$6:$A$105,0)),"案件シートに無い番号です",IF(NOT(OR(D1481="材料費",D1481="労務費",D1481="外注費",D1481="経費")),"費目を4つから選んでください",IF(K1481="",IF(AND(ISNUMBER(F1481),NOT(ISNUMBER(J1481))),IF(D1481="労務費","単価がありません（設定の作業者名と同じ書き方に）","単価がありません"),IF(AND(ISNUMBER(J1481),NOT(ISNUMBER(F1481))),"数量がありません","金額がありません")),IF(NOT(ISNUMBER(A1481)),"日付がありません（月別集計に入りません）",IF(AND(ISNUMBER(F1481),ISNUMBER(J1481),ISNUMBER(I1481)),"数量×単価を使いました（金額の欄は使っていません）","")))))))</f>
        <v/>
      </c>
      <c r="N1481" s="91">
        <f>IF(AND(B1481&lt;&gt;"",B1481='案件カード'!$C$3),COUNTIF($B$5:B1481,'案件カード'!$C$3),"")</f>
        <v/>
      </c>
      <c r="O1481" s="91">
        <f>IF(ISNUMBER(K1481),IF(B1481="",K1481,IF(AND(ISNUMBER(MATCH(B1481,'案件'!$A$6:$A$105,0)),OR(D1481="材料費",D1481="労務費",D1481="外注費",D1481="経費")),0,K1481)),0)</f>
        <v/>
      </c>
    </row>
    <row r="1482" ht="16" customHeight="1">
      <c r="A1482" s="35" t="n"/>
      <c r="B1482" s="36" t="n"/>
      <c r="C1482" s="37">
        <f>IF(B1482="","",IFERROR(INDEX('案件'!$B$6:$B$105,MATCH(B1482,'案件'!$A$6:$A$105,0))&amp;"","（案件シートに無い番号）"))</f>
        <v/>
      </c>
      <c r="D1482" s="36" t="n"/>
      <c r="E1482" s="38" t="n"/>
      <c r="F1482" s="39" t="n"/>
      <c r="G1482" s="36" t="n"/>
      <c r="H1482" s="40" t="n"/>
      <c r="I1482" s="40" t="n"/>
      <c r="J1482" s="41">
        <f>IF(ISNUMBER(H1482),H1482,IF(AND(D1482="労務費",TRIM(E1482)&lt;&gt;""),IFERROR(INDEX('設定'!$G$12:$G$31,MATCH(TRIM(E1482),'設定'!$J$12:$J$31,0)),""),""))</f>
        <v/>
      </c>
      <c r="K1482" s="30">
        <f>IF(AND(ISNUMBER(F1482),ISNUMBER(J1482)),ROUND(F1482*J1482,0),IF(ISNUMBER(I1482),I1482,""))</f>
        <v/>
      </c>
      <c r="L1482" s="33" t="n"/>
      <c r="M1482" s="34">
        <f>IF(COUNTA(A1482:B1482,D1482:I1482,L1482)=0,"",IF(B1482="","案件番号がありません",IF(ISNA(MATCH(B1482,'案件'!$A$6:$A$105,0)),"案件シートに無い番号です",IF(NOT(OR(D1482="材料費",D1482="労務費",D1482="外注費",D1482="経費")),"費目を4つから選んでください",IF(K1482="",IF(AND(ISNUMBER(F1482),NOT(ISNUMBER(J1482))),IF(D1482="労務費","単価がありません（設定の作業者名と同じ書き方に）","単価がありません"),IF(AND(ISNUMBER(J1482),NOT(ISNUMBER(F1482))),"数量がありません","金額がありません")),IF(NOT(ISNUMBER(A1482)),"日付がありません（月別集計に入りません）",IF(AND(ISNUMBER(F1482),ISNUMBER(J1482),ISNUMBER(I1482)),"数量×単価を使いました（金額の欄は使っていません）","")))))))</f>
        <v/>
      </c>
      <c r="N1482" s="91">
        <f>IF(AND(B1482&lt;&gt;"",B1482='案件カード'!$C$3),COUNTIF($B$5:B1482,'案件カード'!$C$3),"")</f>
        <v/>
      </c>
      <c r="O1482" s="91">
        <f>IF(ISNUMBER(K1482),IF(B1482="",K1482,IF(AND(ISNUMBER(MATCH(B1482,'案件'!$A$6:$A$105,0)),OR(D1482="材料費",D1482="労務費",D1482="外注費",D1482="経費")),0,K1482)),0)</f>
        <v/>
      </c>
    </row>
    <row r="1483" ht="16" customHeight="1">
      <c r="A1483" s="35" t="n"/>
      <c r="B1483" s="36" t="n"/>
      <c r="C1483" s="37">
        <f>IF(B1483="","",IFERROR(INDEX('案件'!$B$6:$B$105,MATCH(B1483,'案件'!$A$6:$A$105,0))&amp;"","（案件シートに無い番号）"))</f>
        <v/>
      </c>
      <c r="D1483" s="36" t="n"/>
      <c r="E1483" s="38" t="n"/>
      <c r="F1483" s="39" t="n"/>
      <c r="G1483" s="36" t="n"/>
      <c r="H1483" s="40" t="n"/>
      <c r="I1483" s="40" t="n"/>
      <c r="J1483" s="41">
        <f>IF(ISNUMBER(H1483),H1483,IF(AND(D1483="労務費",TRIM(E1483)&lt;&gt;""),IFERROR(INDEX('設定'!$G$12:$G$31,MATCH(TRIM(E1483),'設定'!$J$12:$J$31,0)),""),""))</f>
        <v/>
      </c>
      <c r="K1483" s="30">
        <f>IF(AND(ISNUMBER(F1483),ISNUMBER(J1483)),ROUND(F1483*J1483,0),IF(ISNUMBER(I1483),I1483,""))</f>
        <v/>
      </c>
      <c r="L1483" s="33" t="n"/>
      <c r="M1483" s="34">
        <f>IF(COUNTA(A1483:B1483,D1483:I1483,L1483)=0,"",IF(B1483="","案件番号がありません",IF(ISNA(MATCH(B1483,'案件'!$A$6:$A$105,0)),"案件シートに無い番号です",IF(NOT(OR(D1483="材料費",D1483="労務費",D1483="外注費",D1483="経費")),"費目を4つから選んでください",IF(K1483="",IF(AND(ISNUMBER(F1483),NOT(ISNUMBER(J1483))),IF(D1483="労務費","単価がありません（設定の作業者名と同じ書き方に）","単価がありません"),IF(AND(ISNUMBER(J1483),NOT(ISNUMBER(F1483))),"数量がありません","金額がありません")),IF(NOT(ISNUMBER(A1483)),"日付がありません（月別集計に入りません）",IF(AND(ISNUMBER(F1483),ISNUMBER(J1483),ISNUMBER(I1483)),"数量×単価を使いました（金額の欄は使っていません）","")))))))</f>
        <v/>
      </c>
      <c r="N1483" s="91">
        <f>IF(AND(B1483&lt;&gt;"",B1483='案件カード'!$C$3),COUNTIF($B$5:B1483,'案件カード'!$C$3),"")</f>
        <v/>
      </c>
      <c r="O1483" s="91">
        <f>IF(ISNUMBER(K1483),IF(B1483="",K1483,IF(AND(ISNUMBER(MATCH(B1483,'案件'!$A$6:$A$105,0)),OR(D1483="材料費",D1483="労務費",D1483="外注費",D1483="経費")),0,K1483)),0)</f>
        <v/>
      </c>
    </row>
    <row r="1484" ht="16" customHeight="1">
      <c r="A1484" s="35" t="n"/>
      <c r="B1484" s="36" t="n"/>
      <c r="C1484" s="37">
        <f>IF(B1484="","",IFERROR(INDEX('案件'!$B$6:$B$105,MATCH(B1484,'案件'!$A$6:$A$105,0))&amp;"","（案件シートに無い番号）"))</f>
        <v/>
      </c>
      <c r="D1484" s="36" t="n"/>
      <c r="E1484" s="38" t="n"/>
      <c r="F1484" s="39" t="n"/>
      <c r="G1484" s="36" t="n"/>
      <c r="H1484" s="40" t="n"/>
      <c r="I1484" s="40" t="n"/>
      <c r="J1484" s="41">
        <f>IF(ISNUMBER(H1484),H1484,IF(AND(D1484="労務費",TRIM(E1484)&lt;&gt;""),IFERROR(INDEX('設定'!$G$12:$G$31,MATCH(TRIM(E1484),'設定'!$J$12:$J$31,0)),""),""))</f>
        <v/>
      </c>
      <c r="K1484" s="30">
        <f>IF(AND(ISNUMBER(F1484),ISNUMBER(J1484)),ROUND(F1484*J1484,0),IF(ISNUMBER(I1484),I1484,""))</f>
        <v/>
      </c>
      <c r="L1484" s="33" t="n"/>
      <c r="M1484" s="34">
        <f>IF(COUNTA(A1484:B1484,D1484:I1484,L1484)=0,"",IF(B1484="","案件番号がありません",IF(ISNA(MATCH(B1484,'案件'!$A$6:$A$105,0)),"案件シートに無い番号です",IF(NOT(OR(D1484="材料費",D1484="労務費",D1484="外注費",D1484="経費")),"費目を4つから選んでください",IF(K1484="",IF(AND(ISNUMBER(F1484),NOT(ISNUMBER(J1484))),IF(D1484="労務費","単価がありません（設定の作業者名と同じ書き方に）","単価がありません"),IF(AND(ISNUMBER(J1484),NOT(ISNUMBER(F1484))),"数量がありません","金額がありません")),IF(NOT(ISNUMBER(A1484)),"日付がありません（月別集計に入りません）",IF(AND(ISNUMBER(F1484),ISNUMBER(J1484),ISNUMBER(I1484)),"数量×単価を使いました（金額の欄は使っていません）","")))))))</f>
        <v/>
      </c>
      <c r="N1484" s="91">
        <f>IF(AND(B1484&lt;&gt;"",B1484='案件カード'!$C$3),COUNTIF($B$5:B1484,'案件カード'!$C$3),"")</f>
        <v/>
      </c>
      <c r="O1484" s="91">
        <f>IF(ISNUMBER(K1484),IF(B1484="",K1484,IF(AND(ISNUMBER(MATCH(B1484,'案件'!$A$6:$A$105,0)),OR(D1484="材料費",D1484="労務費",D1484="外注費",D1484="経費")),0,K1484)),0)</f>
        <v/>
      </c>
    </row>
    <row r="1485" ht="16" customHeight="1">
      <c r="A1485" s="35" t="n"/>
      <c r="B1485" s="36" t="n"/>
      <c r="C1485" s="37">
        <f>IF(B1485="","",IFERROR(INDEX('案件'!$B$6:$B$105,MATCH(B1485,'案件'!$A$6:$A$105,0))&amp;"","（案件シートに無い番号）"))</f>
        <v/>
      </c>
      <c r="D1485" s="36" t="n"/>
      <c r="E1485" s="38" t="n"/>
      <c r="F1485" s="39" t="n"/>
      <c r="G1485" s="36" t="n"/>
      <c r="H1485" s="40" t="n"/>
      <c r="I1485" s="40" t="n"/>
      <c r="J1485" s="41">
        <f>IF(ISNUMBER(H1485),H1485,IF(AND(D1485="労務費",TRIM(E1485)&lt;&gt;""),IFERROR(INDEX('設定'!$G$12:$G$31,MATCH(TRIM(E1485),'設定'!$J$12:$J$31,0)),""),""))</f>
        <v/>
      </c>
      <c r="K1485" s="30">
        <f>IF(AND(ISNUMBER(F1485),ISNUMBER(J1485)),ROUND(F1485*J1485,0),IF(ISNUMBER(I1485),I1485,""))</f>
        <v/>
      </c>
      <c r="L1485" s="33" t="n"/>
      <c r="M1485" s="34">
        <f>IF(COUNTA(A1485:B1485,D1485:I1485,L1485)=0,"",IF(B1485="","案件番号がありません",IF(ISNA(MATCH(B1485,'案件'!$A$6:$A$105,0)),"案件シートに無い番号です",IF(NOT(OR(D1485="材料費",D1485="労務費",D1485="外注費",D1485="経費")),"費目を4つから選んでください",IF(K1485="",IF(AND(ISNUMBER(F1485),NOT(ISNUMBER(J1485))),IF(D1485="労務費","単価がありません（設定の作業者名と同じ書き方に）","単価がありません"),IF(AND(ISNUMBER(J1485),NOT(ISNUMBER(F1485))),"数量がありません","金額がありません")),IF(NOT(ISNUMBER(A1485)),"日付がありません（月別集計に入りません）",IF(AND(ISNUMBER(F1485),ISNUMBER(J1485),ISNUMBER(I1485)),"数量×単価を使いました（金額の欄は使っていません）","")))))))</f>
        <v/>
      </c>
      <c r="N1485" s="91">
        <f>IF(AND(B1485&lt;&gt;"",B1485='案件カード'!$C$3),COUNTIF($B$5:B1485,'案件カード'!$C$3),"")</f>
        <v/>
      </c>
      <c r="O1485" s="91">
        <f>IF(ISNUMBER(K1485),IF(B1485="",K1485,IF(AND(ISNUMBER(MATCH(B1485,'案件'!$A$6:$A$105,0)),OR(D1485="材料費",D1485="労務費",D1485="外注費",D1485="経費")),0,K1485)),0)</f>
        <v/>
      </c>
    </row>
    <row r="1486" ht="16" customHeight="1">
      <c r="A1486" s="35" t="n"/>
      <c r="B1486" s="36" t="n"/>
      <c r="C1486" s="37">
        <f>IF(B1486="","",IFERROR(INDEX('案件'!$B$6:$B$105,MATCH(B1486,'案件'!$A$6:$A$105,0))&amp;"","（案件シートに無い番号）"))</f>
        <v/>
      </c>
      <c r="D1486" s="36" t="n"/>
      <c r="E1486" s="38" t="n"/>
      <c r="F1486" s="39" t="n"/>
      <c r="G1486" s="36" t="n"/>
      <c r="H1486" s="40" t="n"/>
      <c r="I1486" s="40" t="n"/>
      <c r="J1486" s="41">
        <f>IF(ISNUMBER(H1486),H1486,IF(AND(D1486="労務費",TRIM(E1486)&lt;&gt;""),IFERROR(INDEX('設定'!$G$12:$G$31,MATCH(TRIM(E1486),'設定'!$J$12:$J$31,0)),""),""))</f>
        <v/>
      </c>
      <c r="K1486" s="30">
        <f>IF(AND(ISNUMBER(F1486),ISNUMBER(J1486)),ROUND(F1486*J1486,0),IF(ISNUMBER(I1486),I1486,""))</f>
        <v/>
      </c>
      <c r="L1486" s="33" t="n"/>
      <c r="M1486" s="34">
        <f>IF(COUNTA(A1486:B1486,D1486:I1486,L1486)=0,"",IF(B1486="","案件番号がありません",IF(ISNA(MATCH(B1486,'案件'!$A$6:$A$105,0)),"案件シートに無い番号です",IF(NOT(OR(D1486="材料費",D1486="労務費",D1486="外注費",D1486="経費")),"費目を4つから選んでください",IF(K1486="",IF(AND(ISNUMBER(F1486),NOT(ISNUMBER(J1486))),IF(D1486="労務費","単価がありません（設定の作業者名と同じ書き方に）","単価がありません"),IF(AND(ISNUMBER(J1486),NOT(ISNUMBER(F1486))),"数量がありません","金額がありません")),IF(NOT(ISNUMBER(A1486)),"日付がありません（月別集計に入りません）",IF(AND(ISNUMBER(F1486),ISNUMBER(J1486),ISNUMBER(I1486)),"数量×単価を使いました（金額の欄は使っていません）","")))))))</f>
        <v/>
      </c>
      <c r="N1486" s="91">
        <f>IF(AND(B1486&lt;&gt;"",B1486='案件カード'!$C$3),COUNTIF($B$5:B1486,'案件カード'!$C$3),"")</f>
        <v/>
      </c>
      <c r="O1486" s="91">
        <f>IF(ISNUMBER(K1486),IF(B1486="",K1486,IF(AND(ISNUMBER(MATCH(B1486,'案件'!$A$6:$A$105,0)),OR(D1486="材料費",D1486="労務費",D1486="外注費",D1486="経費")),0,K1486)),0)</f>
        <v/>
      </c>
    </row>
    <row r="1487" ht="16" customHeight="1">
      <c r="A1487" s="35" t="n"/>
      <c r="B1487" s="36" t="n"/>
      <c r="C1487" s="37">
        <f>IF(B1487="","",IFERROR(INDEX('案件'!$B$6:$B$105,MATCH(B1487,'案件'!$A$6:$A$105,0))&amp;"","（案件シートに無い番号）"))</f>
        <v/>
      </c>
      <c r="D1487" s="36" t="n"/>
      <c r="E1487" s="38" t="n"/>
      <c r="F1487" s="39" t="n"/>
      <c r="G1487" s="36" t="n"/>
      <c r="H1487" s="40" t="n"/>
      <c r="I1487" s="40" t="n"/>
      <c r="J1487" s="41">
        <f>IF(ISNUMBER(H1487),H1487,IF(AND(D1487="労務費",TRIM(E1487)&lt;&gt;""),IFERROR(INDEX('設定'!$G$12:$G$31,MATCH(TRIM(E1487),'設定'!$J$12:$J$31,0)),""),""))</f>
        <v/>
      </c>
      <c r="K1487" s="30">
        <f>IF(AND(ISNUMBER(F1487),ISNUMBER(J1487)),ROUND(F1487*J1487,0),IF(ISNUMBER(I1487),I1487,""))</f>
        <v/>
      </c>
      <c r="L1487" s="33" t="n"/>
      <c r="M1487" s="34">
        <f>IF(COUNTA(A1487:B1487,D1487:I1487,L1487)=0,"",IF(B1487="","案件番号がありません",IF(ISNA(MATCH(B1487,'案件'!$A$6:$A$105,0)),"案件シートに無い番号です",IF(NOT(OR(D1487="材料費",D1487="労務費",D1487="外注費",D1487="経費")),"費目を4つから選んでください",IF(K1487="",IF(AND(ISNUMBER(F1487),NOT(ISNUMBER(J1487))),IF(D1487="労務費","単価がありません（設定の作業者名と同じ書き方に）","単価がありません"),IF(AND(ISNUMBER(J1487),NOT(ISNUMBER(F1487))),"数量がありません","金額がありません")),IF(NOT(ISNUMBER(A1487)),"日付がありません（月別集計に入りません）",IF(AND(ISNUMBER(F1487),ISNUMBER(J1487),ISNUMBER(I1487)),"数量×単価を使いました（金額の欄は使っていません）","")))))))</f>
        <v/>
      </c>
      <c r="N1487" s="91">
        <f>IF(AND(B1487&lt;&gt;"",B1487='案件カード'!$C$3),COUNTIF($B$5:B1487,'案件カード'!$C$3),"")</f>
        <v/>
      </c>
      <c r="O1487" s="91">
        <f>IF(ISNUMBER(K1487),IF(B1487="",K1487,IF(AND(ISNUMBER(MATCH(B1487,'案件'!$A$6:$A$105,0)),OR(D1487="材料費",D1487="労務費",D1487="外注費",D1487="経費")),0,K1487)),0)</f>
        <v/>
      </c>
    </row>
    <row r="1488" ht="16" customHeight="1">
      <c r="A1488" s="35" t="n"/>
      <c r="B1488" s="36" t="n"/>
      <c r="C1488" s="37">
        <f>IF(B1488="","",IFERROR(INDEX('案件'!$B$6:$B$105,MATCH(B1488,'案件'!$A$6:$A$105,0))&amp;"","（案件シートに無い番号）"))</f>
        <v/>
      </c>
      <c r="D1488" s="36" t="n"/>
      <c r="E1488" s="38" t="n"/>
      <c r="F1488" s="39" t="n"/>
      <c r="G1488" s="36" t="n"/>
      <c r="H1488" s="40" t="n"/>
      <c r="I1488" s="40" t="n"/>
      <c r="J1488" s="41">
        <f>IF(ISNUMBER(H1488),H1488,IF(AND(D1488="労務費",TRIM(E1488)&lt;&gt;""),IFERROR(INDEX('設定'!$G$12:$G$31,MATCH(TRIM(E1488),'設定'!$J$12:$J$31,0)),""),""))</f>
        <v/>
      </c>
      <c r="K1488" s="30">
        <f>IF(AND(ISNUMBER(F1488),ISNUMBER(J1488)),ROUND(F1488*J1488,0),IF(ISNUMBER(I1488),I1488,""))</f>
        <v/>
      </c>
      <c r="L1488" s="33" t="n"/>
      <c r="M1488" s="34">
        <f>IF(COUNTA(A1488:B1488,D1488:I1488,L1488)=0,"",IF(B1488="","案件番号がありません",IF(ISNA(MATCH(B1488,'案件'!$A$6:$A$105,0)),"案件シートに無い番号です",IF(NOT(OR(D1488="材料費",D1488="労務費",D1488="外注費",D1488="経費")),"費目を4つから選んでください",IF(K1488="",IF(AND(ISNUMBER(F1488),NOT(ISNUMBER(J1488))),IF(D1488="労務費","単価がありません（設定の作業者名と同じ書き方に）","単価がありません"),IF(AND(ISNUMBER(J1488),NOT(ISNUMBER(F1488))),"数量がありません","金額がありません")),IF(NOT(ISNUMBER(A1488)),"日付がありません（月別集計に入りません）",IF(AND(ISNUMBER(F1488),ISNUMBER(J1488),ISNUMBER(I1488)),"数量×単価を使いました（金額の欄は使っていません）","")))))))</f>
        <v/>
      </c>
      <c r="N1488" s="91">
        <f>IF(AND(B1488&lt;&gt;"",B1488='案件カード'!$C$3),COUNTIF($B$5:B1488,'案件カード'!$C$3),"")</f>
        <v/>
      </c>
      <c r="O1488" s="91">
        <f>IF(ISNUMBER(K1488),IF(B1488="",K1488,IF(AND(ISNUMBER(MATCH(B1488,'案件'!$A$6:$A$105,0)),OR(D1488="材料費",D1488="労務費",D1488="外注費",D1488="経費")),0,K1488)),0)</f>
        <v/>
      </c>
    </row>
    <row r="1489" ht="16" customHeight="1">
      <c r="A1489" s="35" t="n"/>
      <c r="B1489" s="36" t="n"/>
      <c r="C1489" s="37">
        <f>IF(B1489="","",IFERROR(INDEX('案件'!$B$6:$B$105,MATCH(B1489,'案件'!$A$6:$A$105,0))&amp;"","（案件シートに無い番号）"))</f>
        <v/>
      </c>
      <c r="D1489" s="36" t="n"/>
      <c r="E1489" s="38" t="n"/>
      <c r="F1489" s="39" t="n"/>
      <c r="G1489" s="36" t="n"/>
      <c r="H1489" s="40" t="n"/>
      <c r="I1489" s="40" t="n"/>
      <c r="J1489" s="41">
        <f>IF(ISNUMBER(H1489),H1489,IF(AND(D1489="労務費",TRIM(E1489)&lt;&gt;""),IFERROR(INDEX('設定'!$G$12:$G$31,MATCH(TRIM(E1489),'設定'!$J$12:$J$31,0)),""),""))</f>
        <v/>
      </c>
      <c r="K1489" s="30">
        <f>IF(AND(ISNUMBER(F1489),ISNUMBER(J1489)),ROUND(F1489*J1489,0),IF(ISNUMBER(I1489),I1489,""))</f>
        <v/>
      </c>
      <c r="L1489" s="33" t="n"/>
      <c r="M1489" s="34">
        <f>IF(COUNTA(A1489:B1489,D1489:I1489,L1489)=0,"",IF(B1489="","案件番号がありません",IF(ISNA(MATCH(B1489,'案件'!$A$6:$A$105,0)),"案件シートに無い番号です",IF(NOT(OR(D1489="材料費",D1489="労務費",D1489="外注費",D1489="経費")),"費目を4つから選んでください",IF(K1489="",IF(AND(ISNUMBER(F1489),NOT(ISNUMBER(J1489))),IF(D1489="労務費","単価がありません（設定の作業者名と同じ書き方に）","単価がありません"),IF(AND(ISNUMBER(J1489),NOT(ISNUMBER(F1489))),"数量がありません","金額がありません")),IF(NOT(ISNUMBER(A1489)),"日付がありません（月別集計に入りません）",IF(AND(ISNUMBER(F1489),ISNUMBER(J1489),ISNUMBER(I1489)),"数量×単価を使いました（金額の欄は使っていません）","")))))))</f>
        <v/>
      </c>
      <c r="N1489" s="91">
        <f>IF(AND(B1489&lt;&gt;"",B1489='案件カード'!$C$3),COUNTIF($B$5:B1489,'案件カード'!$C$3),"")</f>
        <v/>
      </c>
      <c r="O1489" s="91">
        <f>IF(ISNUMBER(K1489),IF(B1489="",K1489,IF(AND(ISNUMBER(MATCH(B1489,'案件'!$A$6:$A$105,0)),OR(D1489="材料費",D1489="労務費",D1489="外注費",D1489="経費")),0,K1489)),0)</f>
        <v/>
      </c>
    </row>
    <row r="1490" ht="16" customHeight="1">
      <c r="A1490" s="35" t="n"/>
      <c r="B1490" s="36" t="n"/>
      <c r="C1490" s="37">
        <f>IF(B1490="","",IFERROR(INDEX('案件'!$B$6:$B$105,MATCH(B1490,'案件'!$A$6:$A$105,0))&amp;"","（案件シートに無い番号）"))</f>
        <v/>
      </c>
      <c r="D1490" s="36" t="n"/>
      <c r="E1490" s="38" t="n"/>
      <c r="F1490" s="39" t="n"/>
      <c r="G1490" s="36" t="n"/>
      <c r="H1490" s="40" t="n"/>
      <c r="I1490" s="40" t="n"/>
      <c r="J1490" s="41">
        <f>IF(ISNUMBER(H1490),H1490,IF(AND(D1490="労務費",TRIM(E1490)&lt;&gt;""),IFERROR(INDEX('設定'!$G$12:$G$31,MATCH(TRIM(E1490),'設定'!$J$12:$J$31,0)),""),""))</f>
        <v/>
      </c>
      <c r="K1490" s="30">
        <f>IF(AND(ISNUMBER(F1490),ISNUMBER(J1490)),ROUND(F1490*J1490,0),IF(ISNUMBER(I1490),I1490,""))</f>
        <v/>
      </c>
      <c r="L1490" s="33" t="n"/>
      <c r="M1490" s="34">
        <f>IF(COUNTA(A1490:B1490,D1490:I1490,L1490)=0,"",IF(B1490="","案件番号がありません",IF(ISNA(MATCH(B1490,'案件'!$A$6:$A$105,0)),"案件シートに無い番号です",IF(NOT(OR(D1490="材料費",D1490="労務費",D1490="外注費",D1490="経費")),"費目を4つから選んでください",IF(K1490="",IF(AND(ISNUMBER(F1490),NOT(ISNUMBER(J1490))),IF(D1490="労務費","単価がありません（設定の作業者名と同じ書き方に）","単価がありません"),IF(AND(ISNUMBER(J1490),NOT(ISNUMBER(F1490))),"数量がありません","金額がありません")),IF(NOT(ISNUMBER(A1490)),"日付がありません（月別集計に入りません）",IF(AND(ISNUMBER(F1490),ISNUMBER(J1490),ISNUMBER(I1490)),"数量×単価を使いました（金額の欄は使っていません）","")))))))</f>
        <v/>
      </c>
      <c r="N1490" s="91">
        <f>IF(AND(B1490&lt;&gt;"",B1490='案件カード'!$C$3),COUNTIF($B$5:B1490,'案件カード'!$C$3),"")</f>
        <v/>
      </c>
      <c r="O1490" s="91">
        <f>IF(ISNUMBER(K1490),IF(B1490="",K1490,IF(AND(ISNUMBER(MATCH(B1490,'案件'!$A$6:$A$105,0)),OR(D1490="材料費",D1490="労務費",D1490="外注費",D1490="経費")),0,K1490)),0)</f>
        <v/>
      </c>
    </row>
    <row r="1491" ht="16" customHeight="1">
      <c r="A1491" s="35" t="n"/>
      <c r="B1491" s="36" t="n"/>
      <c r="C1491" s="37">
        <f>IF(B1491="","",IFERROR(INDEX('案件'!$B$6:$B$105,MATCH(B1491,'案件'!$A$6:$A$105,0))&amp;"","（案件シートに無い番号）"))</f>
        <v/>
      </c>
      <c r="D1491" s="36" t="n"/>
      <c r="E1491" s="38" t="n"/>
      <c r="F1491" s="39" t="n"/>
      <c r="G1491" s="36" t="n"/>
      <c r="H1491" s="40" t="n"/>
      <c r="I1491" s="40" t="n"/>
      <c r="J1491" s="41">
        <f>IF(ISNUMBER(H1491),H1491,IF(AND(D1491="労務費",TRIM(E1491)&lt;&gt;""),IFERROR(INDEX('設定'!$G$12:$G$31,MATCH(TRIM(E1491),'設定'!$J$12:$J$31,0)),""),""))</f>
        <v/>
      </c>
      <c r="K1491" s="30">
        <f>IF(AND(ISNUMBER(F1491),ISNUMBER(J1491)),ROUND(F1491*J1491,0),IF(ISNUMBER(I1491),I1491,""))</f>
        <v/>
      </c>
      <c r="L1491" s="33" t="n"/>
      <c r="M1491" s="34">
        <f>IF(COUNTA(A1491:B1491,D1491:I1491,L1491)=0,"",IF(B1491="","案件番号がありません",IF(ISNA(MATCH(B1491,'案件'!$A$6:$A$105,0)),"案件シートに無い番号です",IF(NOT(OR(D1491="材料費",D1491="労務費",D1491="外注費",D1491="経費")),"費目を4つから選んでください",IF(K1491="",IF(AND(ISNUMBER(F1491),NOT(ISNUMBER(J1491))),IF(D1491="労務費","単価がありません（設定の作業者名と同じ書き方に）","単価がありません"),IF(AND(ISNUMBER(J1491),NOT(ISNUMBER(F1491))),"数量がありません","金額がありません")),IF(NOT(ISNUMBER(A1491)),"日付がありません（月別集計に入りません）",IF(AND(ISNUMBER(F1491),ISNUMBER(J1491),ISNUMBER(I1491)),"数量×単価を使いました（金額の欄は使っていません）","")))))))</f>
        <v/>
      </c>
      <c r="N1491" s="91">
        <f>IF(AND(B1491&lt;&gt;"",B1491='案件カード'!$C$3),COUNTIF($B$5:B1491,'案件カード'!$C$3),"")</f>
        <v/>
      </c>
      <c r="O1491" s="91">
        <f>IF(ISNUMBER(K1491),IF(B1491="",K1491,IF(AND(ISNUMBER(MATCH(B1491,'案件'!$A$6:$A$105,0)),OR(D1491="材料費",D1491="労務費",D1491="外注費",D1491="経費")),0,K1491)),0)</f>
        <v/>
      </c>
    </row>
    <row r="1492" ht="16" customHeight="1">
      <c r="A1492" s="35" t="n"/>
      <c r="B1492" s="36" t="n"/>
      <c r="C1492" s="37">
        <f>IF(B1492="","",IFERROR(INDEX('案件'!$B$6:$B$105,MATCH(B1492,'案件'!$A$6:$A$105,0))&amp;"","（案件シートに無い番号）"))</f>
        <v/>
      </c>
      <c r="D1492" s="36" t="n"/>
      <c r="E1492" s="38" t="n"/>
      <c r="F1492" s="39" t="n"/>
      <c r="G1492" s="36" t="n"/>
      <c r="H1492" s="40" t="n"/>
      <c r="I1492" s="40" t="n"/>
      <c r="J1492" s="41">
        <f>IF(ISNUMBER(H1492),H1492,IF(AND(D1492="労務費",TRIM(E1492)&lt;&gt;""),IFERROR(INDEX('設定'!$G$12:$G$31,MATCH(TRIM(E1492),'設定'!$J$12:$J$31,0)),""),""))</f>
        <v/>
      </c>
      <c r="K1492" s="30">
        <f>IF(AND(ISNUMBER(F1492),ISNUMBER(J1492)),ROUND(F1492*J1492,0),IF(ISNUMBER(I1492),I1492,""))</f>
        <v/>
      </c>
      <c r="L1492" s="33" t="n"/>
      <c r="M1492" s="34">
        <f>IF(COUNTA(A1492:B1492,D1492:I1492,L1492)=0,"",IF(B1492="","案件番号がありません",IF(ISNA(MATCH(B1492,'案件'!$A$6:$A$105,0)),"案件シートに無い番号です",IF(NOT(OR(D1492="材料費",D1492="労務費",D1492="外注費",D1492="経費")),"費目を4つから選んでください",IF(K1492="",IF(AND(ISNUMBER(F1492),NOT(ISNUMBER(J1492))),IF(D1492="労務費","単価がありません（設定の作業者名と同じ書き方に）","単価がありません"),IF(AND(ISNUMBER(J1492),NOT(ISNUMBER(F1492))),"数量がありません","金額がありません")),IF(NOT(ISNUMBER(A1492)),"日付がありません（月別集計に入りません）",IF(AND(ISNUMBER(F1492),ISNUMBER(J1492),ISNUMBER(I1492)),"数量×単価を使いました（金額の欄は使っていません）","")))))))</f>
        <v/>
      </c>
      <c r="N1492" s="91">
        <f>IF(AND(B1492&lt;&gt;"",B1492='案件カード'!$C$3),COUNTIF($B$5:B1492,'案件カード'!$C$3),"")</f>
        <v/>
      </c>
      <c r="O1492" s="91">
        <f>IF(ISNUMBER(K1492),IF(B1492="",K1492,IF(AND(ISNUMBER(MATCH(B1492,'案件'!$A$6:$A$105,0)),OR(D1492="材料費",D1492="労務費",D1492="外注費",D1492="経費")),0,K1492)),0)</f>
        <v/>
      </c>
    </row>
    <row r="1493" ht="16" customHeight="1">
      <c r="A1493" s="35" t="n"/>
      <c r="B1493" s="36" t="n"/>
      <c r="C1493" s="37">
        <f>IF(B1493="","",IFERROR(INDEX('案件'!$B$6:$B$105,MATCH(B1493,'案件'!$A$6:$A$105,0))&amp;"","（案件シートに無い番号）"))</f>
        <v/>
      </c>
      <c r="D1493" s="36" t="n"/>
      <c r="E1493" s="38" t="n"/>
      <c r="F1493" s="39" t="n"/>
      <c r="G1493" s="36" t="n"/>
      <c r="H1493" s="40" t="n"/>
      <c r="I1493" s="40" t="n"/>
      <c r="J1493" s="41">
        <f>IF(ISNUMBER(H1493),H1493,IF(AND(D1493="労務費",TRIM(E1493)&lt;&gt;""),IFERROR(INDEX('設定'!$G$12:$G$31,MATCH(TRIM(E1493),'設定'!$J$12:$J$31,0)),""),""))</f>
        <v/>
      </c>
      <c r="K1493" s="30">
        <f>IF(AND(ISNUMBER(F1493),ISNUMBER(J1493)),ROUND(F1493*J1493,0),IF(ISNUMBER(I1493),I1493,""))</f>
        <v/>
      </c>
      <c r="L1493" s="33" t="n"/>
      <c r="M1493" s="34">
        <f>IF(COUNTA(A1493:B1493,D1493:I1493,L1493)=0,"",IF(B1493="","案件番号がありません",IF(ISNA(MATCH(B1493,'案件'!$A$6:$A$105,0)),"案件シートに無い番号です",IF(NOT(OR(D1493="材料費",D1493="労務費",D1493="外注費",D1493="経費")),"費目を4つから選んでください",IF(K1493="",IF(AND(ISNUMBER(F1493),NOT(ISNUMBER(J1493))),IF(D1493="労務費","単価がありません（設定の作業者名と同じ書き方に）","単価がありません"),IF(AND(ISNUMBER(J1493),NOT(ISNUMBER(F1493))),"数量がありません","金額がありません")),IF(NOT(ISNUMBER(A1493)),"日付がありません（月別集計に入りません）",IF(AND(ISNUMBER(F1493),ISNUMBER(J1493),ISNUMBER(I1493)),"数量×単価を使いました（金額の欄は使っていません）","")))))))</f>
        <v/>
      </c>
      <c r="N1493" s="91">
        <f>IF(AND(B1493&lt;&gt;"",B1493='案件カード'!$C$3),COUNTIF($B$5:B1493,'案件カード'!$C$3),"")</f>
        <v/>
      </c>
      <c r="O1493" s="91">
        <f>IF(ISNUMBER(K1493),IF(B1493="",K1493,IF(AND(ISNUMBER(MATCH(B1493,'案件'!$A$6:$A$105,0)),OR(D1493="材料費",D1493="労務費",D1493="外注費",D1493="経費")),0,K1493)),0)</f>
        <v/>
      </c>
    </row>
    <row r="1494" ht="16" customHeight="1">
      <c r="A1494" s="35" t="n"/>
      <c r="B1494" s="36" t="n"/>
      <c r="C1494" s="37">
        <f>IF(B1494="","",IFERROR(INDEX('案件'!$B$6:$B$105,MATCH(B1494,'案件'!$A$6:$A$105,0))&amp;"","（案件シートに無い番号）"))</f>
        <v/>
      </c>
      <c r="D1494" s="36" t="n"/>
      <c r="E1494" s="38" t="n"/>
      <c r="F1494" s="39" t="n"/>
      <c r="G1494" s="36" t="n"/>
      <c r="H1494" s="40" t="n"/>
      <c r="I1494" s="40" t="n"/>
      <c r="J1494" s="41">
        <f>IF(ISNUMBER(H1494),H1494,IF(AND(D1494="労務費",TRIM(E1494)&lt;&gt;""),IFERROR(INDEX('設定'!$G$12:$G$31,MATCH(TRIM(E1494),'設定'!$J$12:$J$31,0)),""),""))</f>
        <v/>
      </c>
      <c r="K1494" s="30">
        <f>IF(AND(ISNUMBER(F1494),ISNUMBER(J1494)),ROUND(F1494*J1494,0),IF(ISNUMBER(I1494),I1494,""))</f>
        <v/>
      </c>
      <c r="L1494" s="33" t="n"/>
      <c r="M1494" s="34">
        <f>IF(COUNTA(A1494:B1494,D1494:I1494,L1494)=0,"",IF(B1494="","案件番号がありません",IF(ISNA(MATCH(B1494,'案件'!$A$6:$A$105,0)),"案件シートに無い番号です",IF(NOT(OR(D1494="材料費",D1494="労務費",D1494="外注費",D1494="経費")),"費目を4つから選んでください",IF(K1494="",IF(AND(ISNUMBER(F1494),NOT(ISNUMBER(J1494))),IF(D1494="労務費","単価がありません（設定の作業者名と同じ書き方に）","単価がありません"),IF(AND(ISNUMBER(J1494),NOT(ISNUMBER(F1494))),"数量がありません","金額がありません")),IF(NOT(ISNUMBER(A1494)),"日付がありません（月別集計に入りません）",IF(AND(ISNUMBER(F1494),ISNUMBER(J1494),ISNUMBER(I1494)),"数量×単価を使いました（金額の欄は使っていません）","")))))))</f>
        <v/>
      </c>
      <c r="N1494" s="91">
        <f>IF(AND(B1494&lt;&gt;"",B1494='案件カード'!$C$3),COUNTIF($B$5:B1494,'案件カード'!$C$3),"")</f>
        <v/>
      </c>
      <c r="O1494" s="91">
        <f>IF(ISNUMBER(K1494),IF(B1494="",K1494,IF(AND(ISNUMBER(MATCH(B1494,'案件'!$A$6:$A$105,0)),OR(D1494="材料費",D1494="労務費",D1494="外注費",D1494="経費")),0,K1494)),0)</f>
        <v/>
      </c>
    </row>
    <row r="1495" ht="16" customHeight="1">
      <c r="A1495" s="35" t="n"/>
      <c r="B1495" s="36" t="n"/>
      <c r="C1495" s="37">
        <f>IF(B1495="","",IFERROR(INDEX('案件'!$B$6:$B$105,MATCH(B1495,'案件'!$A$6:$A$105,0))&amp;"","（案件シートに無い番号）"))</f>
        <v/>
      </c>
      <c r="D1495" s="36" t="n"/>
      <c r="E1495" s="38" t="n"/>
      <c r="F1495" s="39" t="n"/>
      <c r="G1495" s="36" t="n"/>
      <c r="H1495" s="40" t="n"/>
      <c r="I1495" s="40" t="n"/>
      <c r="J1495" s="41">
        <f>IF(ISNUMBER(H1495),H1495,IF(AND(D1495="労務費",TRIM(E1495)&lt;&gt;""),IFERROR(INDEX('設定'!$G$12:$G$31,MATCH(TRIM(E1495),'設定'!$J$12:$J$31,0)),""),""))</f>
        <v/>
      </c>
      <c r="K1495" s="30">
        <f>IF(AND(ISNUMBER(F1495),ISNUMBER(J1495)),ROUND(F1495*J1495,0),IF(ISNUMBER(I1495),I1495,""))</f>
        <v/>
      </c>
      <c r="L1495" s="33" t="n"/>
      <c r="M1495" s="34">
        <f>IF(COUNTA(A1495:B1495,D1495:I1495,L1495)=0,"",IF(B1495="","案件番号がありません",IF(ISNA(MATCH(B1495,'案件'!$A$6:$A$105,0)),"案件シートに無い番号です",IF(NOT(OR(D1495="材料費",D1495="労務費",D1495="外注費",D1495="経費")),"費目を4つから選んでください",IF(K1495="",IF(AND(ISNUMBER(F1495),NOT(ISNUMBER(J1495))),IF(D1495="労務費","単価がありません（設定の作業者名と同じ書き方に）","単価がありません"),IF(AND(ISNUMBER(J1495),NOT(ISNUMBER(F1495))),"数量がありません","金額がありません")),IF(NOT(ISNUMBER(A1495)),"日付がありません（月別集計に入りません）",IF(AND(ISNUMBER(F1495),ISNUMBER(J1495),ISNUMBER(I1495)),"数量×単価を使いました（金額の欄は使っていません）","")))))))</f>
        <v/>
      </c>
      <c r="N1495" s="91">
        <f>IF(AND(B1495&lt;&gt;"",B1495='案件カード'!$C$3),COUNTIF($B$5:B1495,'案件カード'!$C$3),"")</f>
        <v/>
      </c>
      <c r="O1495" s="91">
        <f>IF(ISNUMBER(K1495),IF(B1495="",K1495,IF(AND(ISNUMBER(MATCH(B1495,'案件'!$A$6:$A$105,0)),OR(D1495="材料費",D1495="労務費",D1495="外注費",D1495="経費")),0,K1495)),0)</f>
        <v/>
      </c>
    </row>
    <row r="1496" ht="16" customHeight="1">
      <c r="A1496" s="35" t="n"/>
      <c r="B1496" s="36" t="n"/>
      <c r="C1496" s="37">
        <f>IF(B1496="","",IFERROR(INDEX('案件'!$B$6:$B$105,MATCH(B1496,'案件'!$A$6:$A$105,0))&amp;"","（案件シートに無い番号）"))</f>
        <v/>
      </c>
      <c r="D1496" s="36" t="n"/>
      <c r="E1496" s="38" t="n"/>
      <c r="F1496" s="39" t="n"/>
      <c r="G1496" s="36" t="n"/>
      <c r="H1496" s="40" t="n"/>
      <c r="I1496" s="40" t="n"/>
      <c r="J1496" s="41">
        <f>IF(ISNUMBER(H1496),H1496,IF(AND(D1496="労務費",TRIM(E1496)&lt;&gt;""),IFERROR(INDEX('設定'!$G$12:$G$31,MATCH(TRIM(E1496),'設定'!$J$12:$J$31,0)),""),""))</f>
        <v/>
      </c>
      <c r="K1496" s="30">
        <f>IF(AND(ISNUMBER(F1496),ISNUMBER(J1496)),ROUND(F1496*J1496,0),IF(ISNUMBER(I1496),I1496,""))</f>
        <v/>
      </c>
      <c r="L1496" s="33" t="n"/>
      <c r="M1496" s="34">
        <f>IF(COUNTA(A1496:B1496,D1496:I1496,L1496)=0,"",IF(B1496="","案件番号がありません",IF(ISNA(MATCH(B1496,'案件'!$A$6:$A$105,0)),"案件シートに無い番号です",IF(NOT(OR(D1496="材料費",D1496="労務費",D1496="外注費",D1496="経費")),"費目を4つから選んでください",IF(K1496="",IF(AND(ISNUMBER(F1496),NOT(ISNUMBER(J1496))),IF(D1496="労務費","単価がありません（設定の作業者名と同じ書き方に）","単価がありません"),IF(AND(ISNUMBER(J1496),NOT(ISNUMBER(F1496))),"数量がありません","金額がありません")),IF(NOT(ISNUMBER(A1496)),"日付がありません（月別集計に入りません）",IF(AND(ISNUMBER(F1496),ISNUMBER(J1496),ISNUMBER(I1496)),"数量×単価を使いました（金額の欄は使っていません）","")))))))</f>
        <v/>
      </c>
      <c r="N1496" s="91">
        <f>IF(AND(B1496&lt;&gt;"",B1496='案件カード'!$C$3),COUNTIF($B$5:B1496,'案件カード'!$C$3),"")</f>
        <v/>
      </c>
      <c r="O1496" s="91">
        <f>IF(ISNUMBER(K1496),IF(B1496="",K1496,IF(AND(ISNUMBER(MATCH(B1496,'案件'!$A$6:$A$105,0)),OR(D1496="材料費",D1496="労務費",D1496="外注費",D1496="経費")),0,K1496)),0)</f>
        <v/>
      </c>
    </row>
    <row r="1497" ht="16" customHeight="1">
      <c r="A1497" s="35" t="n"/>
      <c r="B1497" s="36" t="n"/>
      <c r="C1497" s="37">
        <f>IF(B1497="","",IFERROR(INDEX('案件'!$B$6:$B$105,MATCH(B1497,'案件'!$A$6:$A$105,0))&amp;"","（案件シートに無い番号）"))</f>
        <v/>
      </c>
      <c r="D1497" s="36" t="n"/>
      <c r="E1497" s="38" t="n"/>
      <c r="F1497" s="39" t="n"/>
      <c r="G1497" s="36" t="n"/>
      <c r="H1497" s="40" t="n"/>
      <c r="I1497" s="40" t="n"/>
      <c r="J1497" s="41">
        <f>IF(ISNUMBER(H1497),H1497,IF(AND(D1497="労務費",TRIM(E1497)&lt;&gt;""),IFERROR(INDEX('設定'!$G$12:$G$31,MATCH(TRIM(E1497),'設定'!$J$12:$J$31,0)),""),""))</f>
        <v/>
      </c>
      <c r="K1497" s="30">
        <f>IF(AND(ISNUMBER(F1497),ISNUMBER(J1497)),ROUND(F1497*J1497,0),IF(ISNUMBER(I1497),I1497,""))</f>
        <v/>
      </c>
      <c r="L1497" s="33" t="n"/>
      <c r="M1497" s="34">
        <f>IF(COUNTA(A1497:B1497,D1497:I1497,L1497)=0,"",IF(B1497="","案件番号がありません",IF(ISNA(MATCH(B1497,'案件'!$A$6:$A$105,0)),"案件シートに無い番号です",IF(NOT(OR(D1497="材料費",D1497="労務費",D1497="外注費",D1497="経費")),"費目を4つから選んでください",IF(K1497="",IF(AND(ISNUMBER(F1497),NOT(ISNUMBER(J1497))),IF(D1497="労務費","単価がありません（設定の作業者名と同じ書き方に）","単価がありません"),IF(AND(ISNUMBER(J1497),NOT(ISNUMBER(F1497))),"数量がありません","金額がありません")),IF(NOT(ISNUMBER(A1497)),"日付がありません（月別集計に入りません）",IF(AND(ISNUMBER(F1497),ISNUMBER(J1497),ISNUMBER(I1497)),"数量×単価を使いました（金額の欄は使っていません）","")))))))</f>
        <v/>
      </c>
      <c r="N1497" s="91">
        <f>IF(AND(B1497&lt;&gt;"",B1497='案件カード'!$C$3),COUNTIF($B$5:B1497,'案件カード'!$C$3),"")</f>
        <v/>
      </c>
      <c r="O1497" s="91">
        <f>IF(ISNUMBER(K1497),IF(B1497="",K1497,IF(AND(ISNUMBER(MATCH(B1497,'案件'!$A$6:$A$105,0)),OR(D1497="材料費",D1497="労務費",D1497="外注費",D1497="経費")),0,K1497)),0)</f>
        <v/>
      </c>
    </row>
    <row r="1498" ht="16" customHeight="1">
      <c r="A1498" s="35" t="n"/>
      <c r="B1498" s="36" t="n"/>
      <c r="C1498" s="37">
        <f>IF(B1498="","",IFERROR(INDEX('案件'!$B$6:$B$105,MATCH(B1498,'案件'!$A$6:$A$105,0))&amp;"","（案件シートに無い番号）"))</f>
        <v/>
      </c>
      <c r="D1498" s="36" t="n"/>
      <c r="E1498" s="38" t="n"/>
      <c r="F1498" s="39" t="n"/>
      <c r="G1498" s="36" t="n"/>
      <c r="H1498" s="40" t="n"/>
      <c r="I1498" s="40" t="n"/>
      <c r="J1498" s="41">
        <f>IF(ISNUMBER(H1498),H1498,IF(AND(D1498="労務費",TRIM(E1498)&lt;&gt;""),IFERROR(INDEX('設定'!$G$12:$G$31,MATCH(TRIM(E1498),'設定'!$J$12:$J$31,0)),""),""))</f>
        <v/>
      </c>
      <c r="K1498" s="30">
        <f>IF(AND(ISNUMBER(F1498),ISNUMBER(J1498)),ROUND(F1498*J1498,0),IF(ISNUMBER(I1498),I1498,""))</f>
        <v/>
      </c>
      <c r="L1498" s="33" t="n"/>
      <c r="M1498" s="34">
        <f>IF(COUNTA(A1498:B1498,D1498:I1498,L1498)=0,"",IF(B1498="","案件番号がありません",IF(ISNA(MATCH(B1498,'案件'!$A$6:$A$105,0)),"案件シートに無い番号です",IF(NOT(OR(D1498="材料費",D1498="労務費",D1498="外注費",D1498="経費")),"費目を4つから選んでください",IF(K1498="",IF(AND(ISNUMBER(F1498),NOT(ISNUMBER(J1498))),IF(D1498="労務費","単価がありません（設定の作業者名と同じ書き方に）","単価がありません"),IF(AND(ISNUMBER(J1498),NOT(ISNUMBER(F1498))),"数量がありません","金額がありません")),IF(NOT(ISNUMBER(A1498)),"日付がありません（月別集計に入りません）",IF(AND(ISNUMBER(F1498),ISNUMBER(J1498),ISNUMBER(I1498)),"数量×単価を使いました（金額の欄は使っていません）","")))))))</f>
        <v/>
      </c>
      <c r="N1498" s="91">
        <f>IF(AND(B1498&lt;&gt;"",B1498='案件カード'!$C$3),COUNTIF($B$5:B1498,'案件カード'!$C$3),"")</f>
        <v/>
      </c>
      <c r="O1498" s="91">
        <f>IF(ISNUMBER(K1498),IF(B1498="",K1498,IF(AND(ISNUMBER(MATCH(B1498,'案件'!$A$6:$A$105,0)),OR(D1498="材料費",D1498="労務費",D1498="外注費",D1498="経費")),0,K1498)),0)</f>
        <v/>
      </c>
    </row>
    <row r="1499" ht="16" customHeight="1">
      <c r="A1499" s="35" t="n"/>
      <c r="B1499" s="36" t="n"/>
      <c r="C1499" s="37">
        <f>IF(B1499="","",IFERROR(INDEX('案件'!$B$6:$B$105,MATCH(B1499,'案件'!$A$6:$A$105,0))&amp;"","（案件シートに無い番号）"))</f>
        <v/>
      </c>
      <c r="D1499" s="36" t="n"/>
      <c r="E1499" s="38" t="n"/>
      <c r="F1499" s="39" t="n"/>
      <c r="G1499" s="36" t="n"/>
      <c r="H1499" s="40" t="n"/>
      <c r="I1499" s="40" t="n"/>
      <c r="J1499" s="41">
        <f>IF(ISNUMBER(H1499),H1499,IF(AND(D1499="労務費",TRIM(E1499)&lt;&gt;""),IFERROR(INDEX('設定'!$G$12:$G$31,MATCH(TRIM(E1499),'設定'!$J$12:$J$31,0)),""),""))</f>
        <v/>
      </c>
      <c r="K1499" s="30">
        <f>IF(AND(ISNUMBER(F1499),ISNUMBER(J1499)),ROUND(F1499*J1499,0),IF(ISNUMBER(I1499),I1499,""))</f>
        <v/>
      </c>
      <c r="L1499" s="33" t="n"/>
      <c r="M1499" s="34">
        <f>IF(COUNTA(A1499:B1499,D1499:I1499,L1499)=0,"",IF(B1499="","案件番号がありません",IF(ISNA(MATCH(B1499,'案件'!$A$6:$A$105,0)),"案件シートに無い番号です",IF(NOT(OR(D1499="材料費",D1499="労務費",D1499="外注費",D1499="経費")),"費目を4つから選んでください",IF(K1499="",IF(AND(ISNUMBER(F1499),NOT(ISNUMBER(J1499))),IF(D1499="労務費","単価がありません（設定の作業者名と同じ書き方に）","単価がありません"),IF(AND(ISNUMBER(J1499),NOT(ISNUMBER(F1499))),"数量がありません","金額がありません")),IF(NOT(ISNUMBER(A1499)),"日付がありません（月別集計に入りません）",IF(AND(ISNUMBER(F1499),ISNUMBER(J1499),ISNUMBER(I1499)),"数量×単価を使いました（金額の欄は使っていません）","")))))))</f>
        <v/>
      </c>
      <c r="N1499" s="91">
        <f>IF(AND(B1499&lt;&gt;"",B1499='案件カード'!$C$3),COUNTIF($B$5:B1499,'案件カード'!$C$3),"")</f>
        <v/>
      </c>
      <c r="O1499" s="91">
        <f>IF(ISNUMBER(K1499),IF(B1499="",K1499,IF(AND(ISNUMBER(MATCH(B1499,'案件'!$A$6:$A$105,0)),OR(D1499="材料費",D1499="労務費",D1499="外注費",D1499="経費")),0,K1499)),0)</f>
        <v/>
      </c>
    </row>
    <row r="1500" ht="16" customHeight="1">
      <c r="A1500" s="35" t="n"/>
      <c r="B1500" s="36" t="n"/>
      <c r="C1500" s="37">
        <f>IF(B1500="","",IFERROR(INDEX('案件'!$B$6:$B$105,MATCH(B1500,'案件'!$A$6:$A$105,0))&amp;"","（案件シートに無い番号）"))</f>
        <v/>
      </c>
      <c r="D1500" s="36" t="n"/>
      <c r="E1500" s="38" t="n"/>
      <c r="F1500" s="39" t="n"/>
      <c r="G1500" s="36" t="n"/>
      <c r="H1500" s="40" t="n"/>
      <c r="I1500" s="40" t="n"/>
      <c r="J1500" s="41">
        <f>IF(ISNUMBER(H1500),H1500,IF(AND(D1500="労務費",TRIM(E1500)&lt;&gt;""),IFERROR(INDEX('設定'!$G$12:$G$31,MATCH(TRIM(E1500),'設定'!$J$12:$J$31,0)),""),""))</f>
        <v/>
      </c>
      <c r="K1500" s="30">
        <f>IF(AND(ISNUMBER(F1500),ISNUMBER(J1500)),ROUND(F1500*J1500,0),IF(ISNUMBER(I1500),I1500,""))</f>
        <v/>
      </c>
      <c r="L1500" s="33" t="n"/>
      <c r="M1500" s="34">
        <f>IF(COUNTA(A1500:B1500,D1500:I1500,L1500)=0,"",IF(B1500="","案件番号がありません",IF(ISNA(MATCH(B1500,'案件'!$A$6:$A$105,0)),"案件シートに無い番号です",IF(NOT(OR(D1500="材料費",D1500="労務費",D1500="外注費",D1500="経費")),"費目を4つから選んでください",IF(K1500="",IF(AND(ISNUMBER(F1500),NOT(ISNUMBER(J1500))),IF(D1500="労務費","単価がありません（設定の作業者名と同じ書き方に）","単価がありません"),IF(AND(ISNUMBER(J1500),NOT(ISNUMBER(F1500))),"数量がありません","金額がありません")),IF(NOT(ISNUMBER(A1500)),"日付がありません（月別集計に入りません）",IF(AND(ISNUMBER(F1500),ISNUMBER(J1500),ISNUMBER(I1500)),"数量×単価を使いました（金額の欄は使っていません）","")))))))</f>
        <v/>
      </c>
      <c r="N1500" s="91">
        <f>IF(AND(B1500&lt;&gt;"",B1500='案件カード'!$C$3),COUNTIF($B$5:B1500,'案件カード'!$C$3),"")</f>
        <v/>
      </c>
      <c r="O1500" s="91">
        <f>IF(ISNUMBER(K1500),IF(B1500="",K1500,IF(AND(ISNUMBER(MATCH(B1500,'案件'!$A$6:$A$105,0)),OR(D1500="材料費",D1500="労務費",D1500="外注費",D1500="経費")),0,K1500)),0)</f>
        <v/>
      </c>
    </row>
    <row r="1501" ht="16" customHeight="1">
      <c r="A1501" s="35" t="n"/>
      <c r="B1501" s="36" t="n"/>
      <c r="C1501" s="37">
        <f>IF(B1501="","",IFERROR(INDEX('案件'!$B$6:$B$105,MATCH(B1501,'案件'!$A$6:$A$105,0))&amp;"","（案件シートに無い番号）"))</f>
        <v/>
      </c>
      <c r="D1501" s="36" t="n"/>
      <c r="E1501" s="38" t="n"/>
      <c r="F1501" s="39" t="n"/>
      <c r="G1501" s="36" t="n"/>
      <c r="H1501" s="40" t="n"/>
      <c r="I1501" s="40" t="n"/>
      <c r="J1501" s="41">
        <f>IF(ISNUMBER(H1501),H1501,IF(AND(D1501="労務費",TRIM(E1501)&lt;&gt;""),IFERROR(INDEX('設定'!$G$12:$G$31,MATCH(TRIM(E1501),'設定'!$J$12:$J$31,0)),""),""))</f>
        <v/>
      </c>
      <c r="K1501" s="30">
        <f>IF(AND(ISNUMBER(F1501),ISNUMBER(J1501)),ROUND(F1501*J1501,0),IF(ISNUMBER(I1501),I1501,""))</f>
        <v/>
      </c>
      <c r="L1501" s="33" t="n"/>
      <c r="M1501" s="34">
        <f>IF(COUNTA(A1501:B1501,D1501:I1501,L1501)=0,"",IF(B1501="","案件番号がありません",IF(ISNA(MATCH(B1501,'案件'!$A$6:$A$105,0)),"案件シートに無い番号です",IF(NOT(OR(D1501="材料費",D1501="労務費",D1501="外注費",D1501="経費")),"費目を4つから選んでください",IF(K1501="",IF(AND(ISNUMBER(F1501),NOT(ISNUMBER(J1501))),IF(D1501="労務費","単価がありません（設定の作業者名と同じ書き方に）","単価がありません"),IF(AND(ISNUMBER(J1501),NOT(ISNUMBER(F1501))),"数量がありません","金額がありません")),IF(NOT(ISNUMBER(A1501)),"日付がありません（月別集計に入りません）",IF(AND(ISNUMBER(F1501),ISNUMBER(J1501),ISNUMBER(I1501)),"数量×単価を使いました（金額の欄は使っていません）","")))))))</f>
        <v/>
      </c>
      <c r="N1501" s="91">
        <f>IF(AND(B1501&lt;&gt;"",B1501='案件カード'!$C$3),COUNTIF($B$5:B1501,'案件カード'!$C$3),"")</f>
        <v/>
      </c>
      <c r="O1501" s="91">
        <f>IF(ISNUMBER(K1501),IF(B1501="",K1501,IF(AND(ISNUMBER(MATCH(B1501,'案件'!$A$6:$A$105,0)),OR(D1501="材料費",D1501="労務費",D1501="外注費",D1501="経費")),0,K1501)),0)</f>
        <v/>
      </c>
    </row>
    <row r="1502" ht="16" customHeight="1">
      <c r="A1502" s="35" t="n"/>
      <c r="B1502" s="36" t="n"/>
      <c r="C1502" s="37">
        <f>IF(B1502="","",IFERROR(INDEX('案件'!$B$6:$B$105,MATCH(B1502,'案件'!$A$6:$A$105,0))&amp;"","（案件シートに無い番号）"))</f>
        <v/>
      </c>
      <c r="D1502" s="36" t="n"/>
      <c r="E1502" s="38" t="n"/>
      <c r="F1502" s="39" t="n"/>
      <c r="G1502" s="36" t="n"/>
      <c r="H1502" s="40" t="n"/>
      <c r="I1502" s="40" t="n"/>
      <c r="J1502" s="41">
        <f>IF(ISNUMBER(H1502),H1502,IF(AND(D1502="労務費",TRIM(E1502)&lt;&gt;""),IFERROR(INDEX('設定'!$G$12:$G$31,MATCH(TRIM(E1502),'設定'!$J$12:$J$31,0)),""),""))</f>
        <v/>
      </c>
      <c r="K1502" s="30">
        <f>IF(AND(ISNUMBER(F1502),ISNUMBER(J1502)),ROUND(F1502*J1502,0),IF(ISNUMBER(I1502),I1502,""))</f>
        <v/>
      </c>
      <c r="L1502" s="33" t="n"/>
      <c r="M1502" s="34">
        <f>IF(COUNTA(A1502:B1502,D1502:I1502,L1502)=0,"",IF(B1502="","案件番号がありません",IF(ISNA(MATCH(B1502,'案件'!$A$6:$A$105,0)),"案件シートに無い番号です",IF(NOT(OR(D1502="材料費",D1502="労務費",D1502="外注費",D1502="経費")),"費目を4つから選んでください",IF(K1502="",IF(AND(ISNUMBER(F1502),NOT(ISNUMBER(J1502))),IF(D1502="労務費","単価がありません（設定の作業者名と同じ書き方に）","単価がありません"),IF(AND(ISNUMBER(J1502),NOT(ISNUMBER(F1502))),"数量がありません","金額がありません")),IF(NOT(ISNUMBER(A1502)),"日付がありません（月別集計に入りません）",IF(AND(ISNUMBER(F1502),ISNUMBER(J1502),ISNUMBER(I1502)),"数量×単価を使いました（金額の欄は使っていません）","")))))))</f>
        <v/>
      </c>
      <c r="N1502" s="91">
        <f>IF(AND(B1502&lt;&gt;"",B1502='案件カード'!$C$3),COUNTIF($B$5:B1502,'案件カード'!$C$3),"")</f>
        <v/>
      </c>
      <c r="O1502" s="91">
        <f>IF(ISNUMBER(K1502),IF(B1502="",K1502,IF(AND(ISNUMBER(MATCH(B1502,'案件'!$A$6:$A$105,0)),OR(D1502="材料費",D1502="労務費",D1502="外注費",D1502="経費")),0,K1502)),0)</f>
        <v/>
      </c>
    </row>
    <row r="1503" ht="16" customHeight="1">
      <c r="A1503" s="35" t="n"/>
      <c r="B1503" s="36" t="n"/>
      <c r="C1503" s="37">
        <f>IF(B1503="","",IFERROR(INDEX('案件'!$B$6:$B$105,MATCH(B1503,'案件'!$A$6:$A$105,0))&amp;"","（案件シートに無い番号）"))</f>
        <v/>
      </c>
      <c r="D1503" s="36" t="n"/>
      <c r="E1503" s="38" t="n"/>
      <c r="F1503" s="39" t="n"/>
      <c r="G1503" s="36" t="n"/>
      <c r="H1503" s="40" t="n"/>
      <c r="I1503" s="40" t="n"/>
      <c r="J1503" s="41">
        <f>IF(ISNUMBER(H1503),H1503,IF(AND(D1503="労務費",TRIM(E1503)&lt;&gt;""),IFERROR(INDEX('設定'!$G$12:$G$31,MATCH(TRIM(E1503),'設定'!$J$12:$J$31,0)),""),""))</f>
        <v/>
      </c>
      <c r="K1503" s="30">
        <f>IF(AND(ISNUMBER(F1503),ISNUMBER(J1503)),ROUND(F1503*J1503,0),IF(ISNUMBER(I1503),I1503,""))</f>
        <v/>
      </c>
      <c r="L1503" s="33" t="n"/>
      <c r="M1503" s="34">
        <f>IF(COUNTA(A1503:B1503,D1503:I1503,L1503)=0,"",IF(B1503="","案件番号がありません",IF(ISNA(MATCH(B1503,'案件'!$A$6:$A$105,0)),"案件シートに無い番号です",IF(NOT(OR(D1503="材料費",D1503="労務費",D1503="外注費",D1503="経費")),"費目を4つから選んでください",IF(K1503="",IF(AND(ISNUMBER(F1503),NOT(ISNUMBER(J1503))),IF(D1503="労務費","単価がありません（設定の作業者名と同じ書き方に）","単価がありません"),IF(AND(ISNUMBER(J1503),NOT(ISNUMBER(F1503))),"数量がありません","金額がありません")),IF(NOT(ISNUMBER(A1503)),"日付がありません（月別集計に入りません）",IF(AND(ISNUMBER(F1503),ISNUMBER(J1503),ISNUMBER(I1503)),"数量×単価を使いました（金額の欄は使っていません）","")))))))</f>
        <v/>
      </c>
      <c r="N1503" s="91">
        <f>IF(AND(B1503&lt;&gt;"",B1503='案件カード'!$C$3),COUNTIF($B$5:B1503,'案件カード'!$C$3),"")</f>
        <v/>
      </c>
      <c r="O1503" s="91">
        <f>IF(ISNUMBER(K1503),IF(B1503="",K1503,IF(AND(ISNUMBER(MATCH(B1503,'案件'!$A$6:$A$105,0)),OR(D1503="材料費",D1503="労務費",D1503="外注費",D1503="経費")),0,K1503)),0)</f>
        <v/>
      </c>
    </row>
    <row r="1504" ht="16" customHeight="1">
      <c r="A1504" s="35" t="n"/>
      <c r="B1504" s="36" t="n"/>
      <c r="C1504" s="37">
        <f>IF(B1504="","",IFERROR(INDEX('案件'!$B$6:$B$105,MATCH(B1504,'案件'!$A$6:$A$105,0))&amp;"","（案件シートに無い番号）"))</f>
        <v/>
      </c>
      <c r="D1504" s="36" t="n"/>
      <c r="E1504" s="38" t="n"/>
      <c r="F1504" s="39" t="n"/>
      <c r="G1504" s="36" t="n"/>
      <c r="H1504" s="40" t="n"/>
      <c r="I1504" s="40" t="n"/>
      <c r="J1504" s="41">
        <f>IF(ISNUMBER(H1504),H1504,IF(AND(D1504="労務費",TRIM(E1504)&lt;&gt;""),IFERROR(INDEX('設定'!$G$12:$G$31,MATCH(TRIM(E1504),'設定'!$J$12:$J$31,0)),""),""))</f>
        <v/>
      </c>
      <c r="K1504" s="30">
        <f>IF(AND(ISNUMBER(F1504),ISNUMBER(J1504)),ROUND(F1504*J1504,0),IF(ISNUMBER(I1504),I1504,""))</f>
        <v/>
      </c>
      <c r="L1504" s="33" t="n"/>
      <c r="M1504" s="34">
        <f>IF(COUNTA(A1504:B1504,D1504:I1504,L1504)=0,"",IF(B1504="","案件番号がありません",IF(ISNA(MATCH(B1504,'案件'!$A$6:$A$105,0)),"案件シートに無い番号です",IF(NOT(OR(D1504="材料費",D1504="労務費",D1504="外注費",D1504="経費")),"費目を4つから選んでください",IF(K1504="",IF(AND(ISNUMBER(F1504),NOT(ISNUMBER(J1504))),IF(D1504="労務費","単価がありません（設定の作業者名と同じ書き方に）","単価がありません"),IF(AND(ISNUMBER(J1504),NOT(ISNUMBER(F1504))),"数量がありません","金額がありません")),IF(NOT(ISNUMBER(A1504)),"日付がありません（月別集計に入りません）",IF(AND(ISNUMBER(F1504),ISNUMBER(J1504),ISNUMBER(I1504)),"数量×単価を使いました（金額の欄は使っていません）","")))))))</f>
        <v/>
      </c>
      <c r="N1504" s="91">
        <f>IF(AND(B1504&lt;&gt;"",B1504='案件カード'!$C$3),COUNTIF($B$5:B1504,'案件カード'!$C$3),"")</f>
        <v/>
      </c>
      <c r="O1504" s="91">
        <f>IF(ISNUMBER(K1504),IF(B1504="",K1504,IF(AND(ISNUMBER(MATCH(B1504,'案件'!$A$6:$A$105,0)),OR(D1504="材料費",D1504="労務費",D1504="外注費",D1504="経費")),0,K1504)),0)</f>
        <v/>
      </c>
    </row>
  </sheetData>
  <autoFilter ref="A4:M1504"/>
  <mergeCells count="3">
    <mergeCell ref="A3:M3"/>
    <mergeCell ref="A2:M2"/>
    <mergeCell ref="A1:M1"/>
  </mergeCells>
  <conditionalFormatting sqref="M5:M1504">
    <cfRule type="expression" priority="1" dxfId="1">
      <formula>LEN(M5)&gt;0</formula>
    </cfRule>
  </conditionalFormatting>
  <dataValidations count="5">
    <dataValidation sqref="A5:A1504" showDropDown="0" showInputMessage="0" showErrorMessage="1" allowBlank="1" errorTitle="日付を入れてください" error="日付を 2026/10/14 のように入れてください。" type="date" operator="between">
      <formula1>36526</formula1>
      <formula2>73051</formula2>
    </dataValidation>
    <dataValidation sqref="B5:B1504" showDropDown="0" showInputMessage="0" showErrorMessage="1" allowBlank="1" errorTitle="一覧から選んでください" error="案件シートにある案件番号を選んでください。" type="list">
      <formula1>'案件'!$A$6:$A$105</formula1>
    </dataValidation>
    <dataValidation sqref="D5:D1504" showDropDown="0" showInputMessage="0" showErrorMessage="1" allowBlank="1" errorTitle="一覧から選んでください" error="材料費・労務費・外注費・経費から選んでください。" type="list">
      <formula1>"材料費,労務費,外注費,経費"</formula1>
    </dataValidation>
    <dataValidation sqref="F5:F1504" showDropDown="0" showInputMessage="0" showErrorMessage="1" allowBlank="1" errorTitle="数字を入れてください" error="数字を入れてください（返品・値引きはマイナス）。" type="decimal" operator="between">
      <formula1>-999999999999</formula1>
      <formula2>999999999999</formula2>
    </dataValidation>
    <dataValidation sqref="H5:I1504" showDropDown="0" showInputMessage="0" showErrorMessage="1" allowBlank="1" errorTitle="数字を入れてください" error="数字を入れてください（返品・値引きはマイナス）。" type="decimal" operator="between">
      <formula1>-999999999999</formula1>
      <formula2>999999999999</formula2>
    </dataValidation>
  </dataValidations>
  <printOptions horizontalCentered="1"/>
  <pageMargins left="0.4" right="0.4" top="0.45" bottom="0.45" header="0.2" footer="0.2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tabColor rgb="00B9C4CF"/>
    <outlinePr summaryBelow="1" summaryRight="1"/>
    <pageSetUpPr fitToPage="1"/>
  </sheetPr>
  <dimension ref="A1:Y112"/>
  <sheetViews>
    <sheetView showGridLines="0" tabSelected="0" workbookViewId="0">
      <pane xSplit="2" ySplit="12" topLeftCell="C13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0" customWidth="1" min="1" max="1"/>
    <col width="26" customWidth="1" min="2" max="2"/>
    <col width="8" customWidth="1" min="3" max="3"/>
    <col width="12" customWidth="1" min="4" max="4"/>
    <col width="12" customWidth="1" min="5" max="5"/>
    <col width="12" customWidth="1" min="6" max="6"/>
    <col width="12" customWidth="1" min="7" max="7"/>
    <col width="8" customWidth="1" min="8" max="8"/>
    <col width="8" customWidth="1" min="9" max="9"/>
    <col width="12" customWidth="1" min="10" max="10"/>
    <col width="12" customWidth="1" min="11" max="11"/>
    <col width="12" customWidth="1" min="12" max="12"/>
    <col width="9" customWidth="1" min="13" max="13"/>
    <col width="9" customWidth="1" min="14" max="14"/>
    <col width="11" customWidth="1" min="15" max="15"/>
    <col width="10" customWidth="1" min="16" max="16"/>
    <col width="10" customWidth="1" min="17" max="17"/>
    <col width="10" customWidth="1" min="18" max="18"/>
    <col width="10" customWidth="1" min="19" max="19"/>
    <col width="11" customWidth="1" min="20" max="20"/>
    <col width="11" customWidth="1" min="21" max="21"/>
    <col width="11" customWidth="1" min="22" max="22"/>
    <col width="11" customWidth="1" min="23" max="23"/>
    <col width="11" customWidth="1" min="24" max="24"/>
    <col width="6" customWidth="1" min="25" max="25"/>
  </cols>
  <sheetData>
    <row r="1" ht="26" customHeight="1">
      <c r="A1" s="81" t="inlineStr">
        <is>
          <t>案件別集計（予定と実際・粗利）</t>
        </is>
      </c>
      <c r="B1" s="82" t="n"/>
      <c r="C1" s="82" t="n"/>
      <c r="D1" s="82" t="n"/>
      <c r="E1" s="82" t="n"/>
      <c r="F1" s="82" t="n"/>
      <c r="G1" s="82" t="n"/>
      <c r="H1" s="82" t="n"/>
      <c r="I1" s="82" t="n"/>
      <c r="J1" s="82" t="n"/>
      <c r="K1" s="82" t="n"/>
      <c r="L1" s="82" t="n"/>
      <c r="M1" s="82" t="n"/>
      <c r="N1" s="82" t="n"/>
      <c r="O1" s="82" t="n"/>
      <c r="P1" s="82" t="n"/>
      <c r="Q1" s="82" t="n"/>
      <c r="R1" s="82" t="n"/>
      <c r="S1" s="82" t="n"/>
      <c r="T1" s="82" t="n"/>
      <c r="U1" s="82" t="n"/>
      <c r="V1" s="82" t="n"/>
      <c r="W1" s="82" t="n"/>
      <c r="X1" s="82" t="n"/>
      <c r="Y1" s="82" t="n"/>
    </row>
    <row r="2">
      <c r="A2" s="92">
        <f>IF(TRIM('設定'!$B$3)="","",TRIM('設定'!$B$3)&amp;"　")&amp;"金額は"&amp;'設定'!$B$5&amp;"で入れる"</f>
        <v/>
      </c>
      <c r="B2" s="82" t="n"/>
      <c r="C2" s="82" t="n"/>
      <c r="D2" s="82" t="n"/>
      <c r="E2" s="82" t="n"/>
      <c r="F2" s="82" t="n"/>
      <c r="G2" s="82" t="n"/>
      <c r="H2" s="82" t="n"/>
      <c r="I2" s="82" t="n"/>
      <c r="J2" s="82" t="n"/>
      <c r="K2" s="82" t="n"/>
      <c r="L2" s="82" t="n"/>
      <c r="M2" s="82" t="n"/>
      <c r="N2" s="82" t="n"/>
      <c r="O2" s="82" t="n"/>
      <c r="P2" s="82" t="n"/>
      <c r="Q2" s="82" t="n"/>
      <c r="R2" s="82" t="n"/>
      <c r="S2" s="82" t="n"/>
      <c r="T2" s="82" t="n"/>
      <c r="U2" s="82" t="n"/>
      <c r="V2" s="82" t="n"/>
      <c r="W2" s="82" t="n"/>
      <c r="X2" s="82" t="n"/>
      <c r="Y2" s="82" t="n"/>
    </row>
    <row r="3" ht="30" customHeight="1">
      <c r="A3" s="85" t="inlineStr">
        <is>
          <t>全部自動です。差異＝実際原価−予定原価（プラスは予定より多く使った）。消化率＝実際÷予定。見込み原価＝完了・中止の案件は実際原価、それ以外は費目ごとに予定と実際の大きいほう（まだ使っていない分は予定どおりかかると置く）。粗利率の差＝見込み粗利率−予定粗利率。</t>
        </is>
      </c>
      <c r="B3" s="82" t="n"/>
      <c r="C3" s="82" t="n"/>
      <c r="D3" s="82" t="n"/>
      <c r="E3" s="82" t="n"/>
      <c r="F3" s="82" t="n"/>
      <c r="G3" s="82" t="n"/>
      <c r="H3" s="82" t="n"/>
      <c r="I3" s="82" t="n"/>
      <c r="J3" s="82" t="n"/>
      <c r="K3" s="82" t="n"/>
      <c r="L3" s="82" t="n"/>
      <c r="M3" s="82" t="n"/>
      <c r="N3" s="82" t="n"/>
      <c r="O3" s="82" t="n"/>
      <c r="P3" s="82" t="n"/>
      <c r="Q3" s="82" t="n"/>
      <c r="R3" s="82" t="n"/>
      <c r="S3" s="82" t="n"/>
      <c r="T3" s="82" t="n"/>
      <c r="U3" s="82" t="n"/>
      <c r="V3" s="82" t="n"/>
      <c r="W3" s="82" t="n"/>
      <c r="X3" s="82" t="n"/>
      <c r="Y3" s="82" t="n"/>
    </row>
    <row r="4" ht="28" customHeight="1">
      <c r="A4" s="26" t="inlineStr">
        <is>
          <t>まとめ</t>
        </is>
      </c>
      <c r="B4" s="88" t="n"/>
      <c r="C4" s="26" t="inlineStr">
        <is>
          <t>件数</t>
        </is>
      </c>
      <c r="D4" s="26" t="inlineStr">
        <is>
          <t>受注金額</t>
        </is>
      </c>
      <c r="E4" s="26" t="inlineStr">
        <is>
          <t>予定原価</t>
        </is>
      </c>
      <c r="F4" s="26" t="inlineStr">
        <is>
          <t>実際原価</t>
        </is>
      </c>
      <c r="G4" s="26" t="inlineStr">
        <is>
          <t>差異</t>
        </is>
      </c>
      <c r="H4" s="26" t="inlineStr">
        <is>
          <t>消化率</t>
        </is>
      </c>
      <c r="I4" s="26" t="inlineStr"/>
      <c r="J4" s="26" t="inlineStr">
        <is>
          <t>見込み原価</t>
        </is>
      </c>
      <c r="K4" s="26" t="inlineStr">
        <is>
          <t>予定粗利</t>
        </is>
      </c>
      <c r="L4" s="26" t="inlineStr">
        <is>
          <t>見込み粗利</t>
        </is>
      </c>
      <c r="M4" s="26" t="inlineStr">
        <is>
          <t>予定粗利率</t>
        </is>
      </c>
      <c r="N4" s="26" t="inlineStr">
        <is>
          <t>見込み
粗利率</t>
        </is>
      </c>
      <c r="O4" s="26" t="inlineStr">
        <is>
          <t>粗利率の差</t>
        </is>
      </c>
      <c r="P4" s="26" t="inlineStr">
        <is>
          <t>材料費差異</t>
        </is>
      </c>
      <c r="Q4" s="26" t="inlineStr">
        <is>
          <t>労務費差異</t>
        </is>
      </c>
      <c r="R4" s="26" t="inlineStr">
        <is>
          <t>外注費差異</t>
        </is>
      </c>
      <c r="S4" s="26" t="inlineStr">
        <is>
          <t>経費差異</t>
        </is>
      </c>
      <c r="T4" s="82" t="n"/>
      <c r="U4" s="82" t="n"/>
      <c r="V4" s="82" t="n"/>
      <c r="W4" s="82" t="n"/>
      <c r="X4" s="82" t="n"/>
      <c r="Y4" s="82" t="n"/>
    </row>
    <row r="5" ht="18" customHeight="1">
      <c r="A5" s="42" t="inlineStr">
        <is>
          <t>全案件（見積中・中止も含む）</t>
        </is>
      </c>
      <c r="B5" s="88" t="n"/>
      <c r="C5" s="44">
        <f>SUM($Y$13:$Y$112)</f>
        <v/>
      </c>
      <c r="D5" s="30">
        <f>SUM($D$13:$D$112)</f>
        <v/>
      </c>
      <c r="E5" s="30">
        <f>SUM($E$13:$E$112)</f>
        <v/>
      </c>
      <c r="F5" s="30">
        <f>SUM($F$13:$F$112)</f>
        <v/>
      </c>
      <c r="G5" s="45">
        <f>F5-E5</f>
        <v/>
      </c>
      <c r="H5" s="46">
        <f>IF(E5&gt;0,F5/E5,"－")</f>
        <v/>
      </c>
      <c r="I5" s="30" t="n"/>
      <c r="J5" s="30">
        <f>SUM($J$13:$J$112)</f>
        <v/>
      </c>
      <c r="K5" s="30">
        <f>SUM($K$13:$K$112)</f>
        <v/>
      </c>
      <c r="L5" s="30">
        <f>SUM($L$13:$L$112)</f>
        <v/>
      </c>
      <c r="M5" s="46">
        <f>IF(D5&gt;0,K5/D5,"－")</f>
        <v/>
      </c>
      <c r="N5" s="46">
        <f>IF(D5&gt;0,L5/D5,"－")</f>
        <v/>
      </c>
      <c r="O5" s="47">
        <f>IF(AND(ISNUMBER(M5),ISNUMBER(N5)),(N5-M5)*100,"－")</f>
        <v/>
      </c>
      <c r="P5" s="45">
        <f>SUM($P$13:$P$112)</f>
        <v/>
      </c>
      <c r="Q5" s="45">
        <f>SUM($Q$13:$Q$112)</f>
        <v/>
      </c>
      <c r="R5" s="45">
        <f>SUM($R$13:$R$112)</f>
        <v/>
      </c>
      <c r="S5" s="45">
        <f>SUM($S$13:$S$112)</f>
        <v/>
      </c>
      <c r="T5" s="82" t="n"/>
      <c r="U5" s="82" t="n"/>
      <c r="V5" s="82" t="n"/>
      <c r="W5" s="82" t="n"/>
      <c r="X5" s="82" t="n"/>
      <c r="Y5" s="82" t="n"/>
    </row>
    <row r="6" ht="18" customHeight="1">
      <c r="A6" s="42" t="inlineStr">
        <is>
          <t>うち 進行中</t>
        </is>
      </c>
      <c r="B6" s="88" t="n"/>
      <c r="C6" s="48">
        <f>SUMIFS($Y$13:$Y$112,$C$13:$C$112,"進行中")</f>
        <v/>
      </c>
      <c r="D6" s="31">
        <f>SUMIFS($D$13:$D$112,$C$13:$C$112,"進行中")</f>
        <v/>
      </c>
      <c r="E6" s="31">
        <f>SUMIFS($E$13:$E$112,$C$13:$C$112,"進行中")</f>
        <v/>
      </c>
      <c r="F6" s="31">
        <f>SUMIFS($F$13:$F$112,$C$13:$C$112,"進行中")</f>
        <v/>
      </c>
      <c r="G6" s="49">
        <f>F6-E6</f>
        <v/>
      </c>
      <c r="H6" s="32">
        <f>IF(E6&gt;0,F6/E6,"－")</f>
        <v/>
      </c>
      <c r="I6" s="31" t="n"/>
      <c r="J6" s="31">
        <f>SUMIFS($J$13:$J$112,$C$13:$C$112,"進行中")</f>
        <v/>
      </c>
      <c r="K6" s="31">
        <f>SUMIFS($K$13:$K$112,$C$13:$C$112,"進行中")</f>
        <v/>
      </c>
      <c r="L6" s="31">
        <f>SUMIFS($L$13:$L$112,$C$13:$C$112,"進行中")</f>
        <v/>
      </c>
      <c r="M6" s="32">
        <f>IF(D6&gt;0,K6/D6,"－")</f>
        <v/>
      </c>
      <c r="N6" s="32">
        <f>IF(D6&gt;0,L6/D6,"－")</f>
        <v/>
      </c>
      <c r="O6" s="50">
        <f>IF(AND(ISNUMBER(M6),ISNUMBER(N6)),(N6-M6)*100,"－")</f>
        <v/>
      </c>
      <c r="P6" s="49">
        <f>SUMIFS($P$13:$P$112,$C$13:$C$112,"進行中")</f>
        <v/>
      </c>
      <c r="Q6" s="49">
        <f>SUMIFS($Q$13:$Q$112,$C$13:$C$112,"進行中")</f>
        <v/>
      </c>
      <c r="R6" s="49">
        <f>SUMIFS($R$13:$R$112,$C$13:$C$112,"進行中")</f>
        <v/>
      </c>
      <c r="S6" s="49">
        <f>SUMIFS($S$13:$S$112,$C$13:$C$112,"進行中")</f>
        <v/>
      </c>
      <c r="T6" s="82" t="n"/>
      <c r="U6" s="82" t="n"/>
      <c r="V6" s="82" t="n"/>
      <c r="W6" s="82" t="n"/>
      <c r="X6" s="82" t="n"/>
      <c r="Y6" s="82" t="n"/>
    </row>
    <row r="7" ht="18" customHeight="1">
      <c r="A7" s="42" t="inlineStr">
        <is>
          <t>うち 完了</t>
        </is>
      </c>
      <c r="B7" s="88" t="n"/>
      <c r="C7" s="48">
        <f>SUMIFS($Y$13:$Y$112,$C$13:$C$112,"完了")</f>
        <v/>
      </c>
      <c r="D7" s="31">
        <f>SUMIFS($D$13:$D$112,$C$13:$C$112,"完了")</f>
        <v/>
      </c>
      <c r="E7" s="31">
        <f>SUMIFS($E$13:$E$112,$C$13:$C$112,"完了")</f>
        <v/>
      </c>
      <c r="F7" s="31">
        <f>SUMIFS($F$13:$F$112,$C$13:$C$112,"完了")</f>
        <v/>
      </c>
      <c r="G7" s="49">
        <f>F7-E7</f>
        <v/>
      </c>
      <c r="H7" s="32">
        <f>IF(E7&gt;0,F7/E7,"－")</f>
        <v/>
      </c>
      <c r="I7" s="31" t="n"/>
      <c r="J7" s="31">
        <f>SUMIFS($J$13:$J$112,$C$13:$C$112,"完了")</f>
        <v/>
      </c>
      <c r="K7" s="31">
        <f>SUMIFS($K$13:$K$112,$C$13:$C$112,"完了")</f>
        <v/>
      </c>
      <c r="L7" s="31">
        <f>SUMIFS($L$13:$L$112,$C$13:$C$112,"完了")</f>
        <v/>
      </c>
      <c r="M7" s="32">
        <f>IF(D7&gt;0,K7/D7,"－")</f>
        <v/>
      </c>
      <c r="N7" s="32">
        <f>IF(D7&gt;0,L7/D7,"－")</f>
        <v/>
      </c>
      <c r="O7" s="50">
        <f>IF(AND(ISNUMBER(M7),ISNUMBER(N7)),(N7-M7)*100,"－")</f>
        <v/>
      </c>
      <c r="P7" s="49">
        <f>SUMIFS($P$13:$P$112,$C$13:$C$112,"完了")</f>
        <v/>
      </c>
      <c r="Q7" s="49">
        <f>SUMIFS($Q$13:$Q$112,$C$13:$C$112,"完了")</f>
        <v/>
      </c>
      <c r="R7" s="49">
        <f>SUMIFS($R$13:$R$112,$C$13:$C$112,"完了")</f>
        <v/>
      </c>
      <c r="S7" s="49">
        <f>SUMIFS($S$13:$S$112,$C$13:$C$112,"完了")</f>
        <v/>
      </c>
      <c r="T7" s="82" t="n"/>
      <c r="U7" s="82" t="n"/>
      <c r="V7" s="82" t="n"/>
      <c r="W7" s="82" t="n"/>
      <c r="X7" s="82" t="n"/>
      <c r="Y7" s="82" t="n"/>
    </row>
    <row r="8" ht="18" customHeight="1">
      <c r="A8" s="42" t="inlineStr">
        <is>
          <t>うち 見積中</t>
        </is>
      </c>
      <c r="B8" s="88" t="n"/>
      <c r="C8" s="48">
        <f>SUMIFS($Y$13:$Y$112,$C$13:$C$112,"見積中")</f>
        <v/>
      </c>
      <c r="D8" s="31">
        <f>SUMIFS($D$13:$D$112,$C$13:$C$112,"見積中")</f>
        <v/>
      </c>
      <c r="E8" s="31">
        <f>SUMIFS($E$13:$E$112,$C$13:$C$112,"見積中")</f>
        <v/>
      </c>
      <c r="F8" s="31">
        <f>SUMIFS($F$13:$F$112,$C$13:$C$112,"見積中")</f>
        <v/>
      </c>
      <c r="G8" s="49">
        <f>F8-E8</f>
        <v/>
      </c>
      <c r="H8" s="32">
        <f>IF(E8&gt;0,F8/E8,"－")</f>
        <v/>
      </c>
      <c r="I8" s="31" t="n"/>
      <c r="J8" s="31">
        <f>SUMIFS($J$13:$J$112,$C$13:$C$112,"見積中")</f>
        <v/>
      </c>
      <c r="K8" s="31">
        <f>SUMIFS($K$13:$K$112,$C$13:$C$112,"見積中")</f>
        <v/>
      </c>
      <c r="L8" s="31">
        <f>SUMIFS($L$13:$L$112,$C$13:$C$112,"見積中")</f>
        <v/>
      </c>
      <c r="M8" s="32">
        <f>IF(D8&gt;0,K8/D8,"－")</f>
        <v/>
      </c>
      <c r="N8" s="32">
        <f>IF(D8&gt;0,L8/D8,"－")</f>
        <v/>
      </c>
      <c r="O8" s="50">
        <f>IF(AND(ISNUMBER(M8),ISNUMBER(N8)),(N8-M8)*100,"－")</f>
        <v/>
      </c>
      <c r="P8" s="49">
        <f>SUMIFS($P$13:$P$112,$C$13:$C$112,"見積中")</f>
        <v/>
      </c>
      <c r="Q8" s="49">
        <f>SUMIFS($Q$13:$Q$112,$C$13:$C$112,"見積中")</f>
        <v/>
      </c>
      <c r="R8" s="49">
        <f>SUMIFS($R$13:$R$112,$C$13:$C$112,"見積中")</f>
        <v/>
      </c>
      <c r="S8" s="49">
        <f>SUMIFS($S$13:$S$112,$C$13:$C$112,"見積中")</f>
        <v/>
      </c>
      <c r="T8" s="82" t="n"/>
      <c r="U8" s="82" t="n"/>
      <c r="V8" s="82" t="n"/>
      <c r="W8" s="82" t="n"/>
      <c r="X8" s="82" t="n"/>
      <c r="Y8" s="82" t="n"/>
    </row>
    <row r="9" ht="18" customHeight="1">
      <c r="A9" s="93" t="inlineStr">
        <is>
          <t>集計に入っていない明細の金額（案件番号・費目を確かめる）</t>
        </is>
      </c>
      <c r="B9" s="87" t="n"/>
      <c r="C9" s="87" t="n"/>
      <c r="D9" s="87" t="n"/>
      <c r="E9" s="88" t="n"/>
      <c r="F9" s="52">
        <f>SUM('原価明細'!$O$5:$O$1504)</f>
        <v/>
      </c>
      <c r="G9" s="85">
        <f>IF(F9&lt;&gt;0,"原価明細シートの確認の列に文字が出ている行を直してください","0円なら、明細はすべてどれかの案件に入っています")</f>
        <v/>
      </c>
      <c r="H9" s="82" t="n"/>
      <c r="I9" s="82" t="n"/>
      <c r="J9" s="82" t="n"/>
      <c r="K9" s="82" t="n"/>
      <c r="L9" s="82" t="n"/>
      <c r="M9" s="82" t="n"/>
      <c r="N9" s="82" t="n"/>
      <c r="O9" s="82" t="n"/>
      <c r="P9" s="82" t="n"/>
      <c r="Q9" s="82" t="n"/>
      <c r="R9" s="82" t="n"/>
      <c r="S9" s="82" t="n"/>
      <c r="T9" s="82" t="n"/>
      <c r="U9" s="82" t="n"/>
      <c r="V9" s="82" t="n"/>
      <c r="W9" s="82" t="n"/>
      <c r="X9" s="82" t="n"/>
      <c r="Y9" s="82" t="n"/>
    </row>
    <row r="10" ht="8" customHeight="1">
      <c r="A10" s="82" t="n"/>
      <c r="B10" s="82" t="n"/>
      <c r="C10" s="82" t="n"/>
      <c r="D10" s="82" t="n"/>
      <c r="E10" s="82" t="n"/>
      <c r="F10" s="82" t="n"/>
      <c r="G10" s="82" t="n"/>
      <c r="H10" s="82" t="n"/>
      <c r="I10" s="82" t="n"/>
      <c r="J10" s="82" t="n"/>
      <c r="K10" s="82" t="n"/>
      <c r="L10" s="82" t="n"/>
      <c r="M10" s="82" t="n"/>
      <c r="N10" s="82" t="n"/>
      <c r="O10" s="82" t="n"/>
      <c r="P10" s="82" t="n"/>
      <c r="Q10" s="82" t="n"/>
      <c r="R10" s="82" t="n"/>
      <c r="S10" s="82" t="n"/>
      <c r="T10" s="82" t="n"/>
      <c r="U10" s="82" t="n"/>
      <c r="V10" s="82" t="n"/>
      <c r="W10" s="82" t="n"/>
      <c r="X10" s="82" t="n"/>
      <c r="Y10" s="82" t="n"/>
    </row>
    <row r="11">
      <c r="A11" s="26" t="n"/>
      <c r="B11" s="87" t="n"/>
      <c r="C11" s="88" t="n"/>
      <c r="D11" s="26" t="inlineStr">
        <is>
          <t>受注と原価</t>
        </is>
      </c>
      <c r="E11" s="87" t="n"/>
      <c r="F11" s="87" t="n"/>
      <c r="G11" s="87" t="n"/>
      <c r="H11" s="87" t="n"/>
      <c r="I11" s="88" t="n"/>
      <c r="J11" s="26" t="inlineStr">
        <is>
          <t>見込みと粗利</t>
        </is>
      </c>
      <c r="K11" s="87" t="n"/>
      <c r="L11" s="87" t="n"/>
      <c r="M11" s="87" t="n"/>
      <c r="N11" s="87" t="n"/>
      <c r="O11" s="88" t="n"/>
      <c r="P11" s="26" t="inlineStr">
        <is>
          <t>費目ごとの差異（実際−予定）</t>
        </is>
      </c>
      <c r="Q11" s="87" t="n"/>
      <c r="R11" s="87" t="n"/>
      <c r="S11" s="88" t="n"/>
      <c r="T11" s="82" t="n"/>
      <c r="U11" s="82" t="n"/>
      <c r="V11" s="82" t="n"/>
      <c r="W11" s="82" t="n"/>
      <c r="X11" s="82" t="n"/>
      <c r="Y11" s="82" t="n"/>
    </row>
    <row r="12" ht="30" customHeight="1">
      <c r="A12" s="18" t="inlineStr">
        <is>
          <t>案件番号</t>
        </is>
      </c>
      <c r="B12" s="18" t="inlineStr">
        <is>
          <t>案件名</t>
        </is>
      </c>
      <c r="C12" s="18" t="inlineStr">
        <is>
          <t>状態</t>
        </is>
      </c>
      <c r="D12" s="18" t="inlineStr">
        <is>
          <t>受注金額</t>
        </is>
      </c>
      <c r="E12" s="18" t="inlineStr">
        <is>
          <t>予定原価</t>
        </is>
      </c>
      <c r="F12" s="18" t="inlineStr">
        <is>
          <t>実際原価</t>
        </is>
      </c>
      <c r="G12" s="18" t="inlineStr">
        <is>
          <t>差異
（実際−予定）</t>
        </is>
      </c>
      <c r="H12" s="18" t="inlineStr">
        <is>
          <t>消化率</t>
        </is>
      </c>
      <c r="I12" s="18" t="inlineStr">
        <is>
          <t>判定</t>
        </is>
      </c>
      <c r="J12" s="18" t="inlineStr">
        <is>
          <t>見込み原価</t>
        </is>
      </c>
      <c r="K12" s="18" t="inlineStr">
        <is>
          <t>予定粗利</t>
        </is>
      </c>
      <c r="L12" s="18" t="inlineStr">
        <is>
          <t>見込み粗利</t>
        </is>
      </c>
      <c r="M12" s="18" t="inlineStr">
        <is>
          <t>予定粗利率</t>
        </is>
      </c>
      <c r="N12" s="18" t="inlineStr">
        <is>
          <t>見込み
粗利率</t>
        </is>
      </c>
      <c r="O12" s="18" t="inlineStr">
        <is>
          <t>粗利率の差</t>
        </is>
      </c>
      <c r="P12" s="18" t="inlineStr">
        <is>
          <t>材料費</t>
        </is>
      </c>
      <c r="Q12" s="18" t="inlineStr">
        <is>
          <t>労務費</t>
        </is>
      </c>
      <c r="R12" s="18" t="inlineStr">
        <is>
          <t>外注費</t>
        </is>
      </c>
      <c r="S12" s="18" t="inlineStr">
        <is>
          <t>経費</t>
        </is>
      </c>
      <c r="T12" s="90" t="inlineStr">
        <is>
          <t>計算用 実際の材料費</t>
        </is>
      </c>
      <c r="U12" s="90" t="inlineStr">
        <is>
          <t>計算用 実際の労務費</t>
        </is>
      </c>
      <c r="V12" s="90" t="inlineStr">
        <is>
          <t>計算用 実際の外注費</t>
        </is>
      </c>
      <c r="W12" s="90" t="inlineStr">
        <is>
          <t>計算用 実際の経費</t>
        </is>
      </c>
      <c r="X12" s="90" t="inlineStr">
        <is>
          <t>計算用 完了日</t>
        </is>
      </c>
      <c r="Y12" s="90" t="inlineStr">
        <is>
          <t>計算用 件数</t>
        </is>
      </c>
    </row>
    <row r="13" ht="17" customHeight="1">
      <c r="A13" s="53">
        <f>IF('案件'!A6="","",'案件'!A6)</f>
        <v/>
      </c>
      <c r="B13" s="37">
        <f>IF($A13="","",'案件'!B6&amp;"")</f>
        <v/>
      </c>
      <c r="C13" s="53">
        <f>IF($A13="","",'案件'!H6&amp;"")</f>
        <v/>
      </c>
      <c r="D13" s="31">
        <f>IF($A13="","",IF(ISNUMBER('案件'!K6),'案件'!K6,""))</f>
        <v/>
      </c>
      <c r="E13" s="31">
        <f>IF($A13="","",SUM('案件'!L6:O6))</f>
        <v/>
      </c>
      <c r="F13" s="30">
        <f>IF($A13="","",SUM(T13:W13))</f>
        <v/>
      </c>
      <c r="G13" s="49">
        <f>IF($A13="","",F13-E13)</f>
        <v/>
      </c>
      <c r="H13" s="32">
        <f>IF($A13="","",IF(E13&gt;0,F13/E13,"－"))</f>
        <v/>
      </c>
      <c r="I13" s="54">
        <f>IF($A13="","",IF(F13=0,"",IF(E13&lt;=0,"予定なし",IF(F13&gt;E13,"超過",IF(AND(C13&lt;&gt;"完了",C13&lt;&gt;"中止",ISNUMBER('設定'!$B$6),'設定'!$B$6&gt;0,F13/E13&gt;='設定'!$B$6),"注意","予定内")))))</f>
        <v/>
      </c>
      <c r="J13" s="31">
        <f>IF($A13="","",IF(OR(C13="完了",C13="中止"),F13,MAX(T13,N('案件'!L6))+MAX(U13,N('案件'!M6))+MAX(V13,N('案件'!N6))+MAX(W13,N('案件'!O6))))</f>
        <v/>
      </c>
      <c r="K13" s="31">
        <f>IF(OR($A13="",NOT(ISNUMBER(D13))),"",D13-E13)</f>
        <v/>
      </c>
      <c r="L13" s="30">
        <f>IF(OR($A13="",NOT(ISNUMBER(D13))),"",D13-J13)</f>
        <v/>
      </c>
      <c r="M13" s="32">
        <f>IF(K13="","",IF(D13&gt;0,K13/D13,"－"))</f>
        <v/>
      </c>
      <c r="N13" s="55">
        <f>IF(L13="","",IF(D13&gt;0,L13/D13,"－"))</f>
        <v/>
      </c>
      <c r="O13" s="50">
        <f>IF(AND(ISNUMBER(M13),ISNUMBER(N13)),(N13-M13)*100,IF($A13="","","－"))</f>
        <v/>
      </c>
      <c r="P13" s="49">
        <f>IF($A13="","",T13-N('案件'!L6))</f>
        <v/>
      </c>
      <c r="Q13" s="49">
        <f>IF($A13="","",U13-N('案件'!M6))</f>
        <v/>
      </c>
      <c r="R13" s="49">
        <f>IF($A13="","",V13-N('案件'!N6))</f>
        <v/>
      </c>
      <c r="S13" s="49">
        <f>IF($A13="","",W13-N('案件'!O6))</f>
        <v/>
      </c>
      <c r="T13" s="94">
        <f>IF($A13="","",SUMIFS('原価明細'!$K$5:$K$1504,'原価明細'!$B$5:$B$1504,$A13,'原価明細'!$D$5:$D$1504,"材料費"))</f>
        <v/>
      </c>
      <c r="U13" s="94">
        <f>IF($A13="","",SUMIFS('原価明細'!$K$5:$K$1504,'原価明細'!$B$5:$B$1504,$A13,'原価明細'!$D$5:$D$1504,"労務費"))</f>
        <v/>
      </c>
      <c r="V13" s="94">
        <f>IF($A13="","",SUMIFS('原価明細'!$K$5:$K$1504,'原価明細'!$B$5:$B$1504,$A13,'原価明細'!$D$5:$D$1504,"外注費"))</f>
        <v/>
      </c>
      <c r="W13" s="94">
        <f>IF($A13="","",SUMIFS('原価明細'!$K$5:$K$1504,'原価明細'!$B$5:$B$1504,$A13,'原価明細'!$D$5:$D$1504,"経費"))</f>
        <v/>
      </c>
      <c r="X13" s="95">
        <f>IF($A13="","",IF(ISNUMBER('案件'!G6),'案件'!G6,""))</f>
        <v/>
      </c>
      <c r="Y13" s="91">
        <f>IF($A13="",0,1)</f>
        <v/>
      </c>
    </row>
    <row r="14" ht="17" customHeight="1">
      <c r="A14" s="53">
        <f>IF('案件'!A7="","",'案件'!A7)</f>
        <v/>
      </c>
      <c r="B14" s="37">
        <f>IF($A14="","",'案件'!B7&amp;"")</f>
        <v/>
      </c>
      <c r="C14" s="53">
        <f>IF($A14="","",'案件'!H7&amp;"")</f>
        <v/>
      </c>
      <c r="D14" s="31">
        <f>IF($A14="","",IF(ISNUMBER('案件'!K7),'案件'!K7,""))</f>
        <v/>
      </c>
      <c r="E14" s="31">
        <f>IF($A14="","",SUM('案件'!L7:O7))</f>
        <v/>
      </c>
      <c r="F14" s="30">
        <f>IF($A14="","",SUM(T14:W14))</f>
        <v/>
      </c>
      <c r="G14" s="49">
        <f>IF($A14="","",F14-E14)</f>
        <v/>
      </c>
      <c r="H14" s="32">
        <f>IF($A14="","",IF(E14&gt;0,F14/E14,"－"))</f>
        <v/>
      </c>
      <c r="I14" s="54">
        <f>IF($A14="","",IF(F14=0,"",IF(E14&lt;=0,"予定なし",IF(F14&gt;E14,"超過",IF(AND(C14&lt;&gt;"完了",C14&lt;&gt;"中止",ISNUMBER('設定'!$B$6),'設定'!$B$6&gt;0,F14/E14&gt;='設定'!$B$6),"注意","予定内")))))</f>
        <v/>
      </c>
      <c r="J14" s="31">
        <f>IF($A14="","",IF(OR(C14="完了",C14="中止"),F14,MAX(T14,N('案件'!L7))+MAX(U14,N('案件'!M7))+MAX(V14,N('案件'!N7))+MAX(W14,N('案件'!O7))))</f>
        <v/>
      </c>
      <c r="K14" s="31">
        <f>IF(OR($A14="",NOT(ISNUMBER(D14))),"",D14-E14)</f>
        <v/>
      </c>
      <c r="L14" s="30">
        <f>IF(OR($A14="",NOT(ISNUMBER(D14))),"",D14-J14)</f>
        <v/>
      </c>
      <c r="M14" s="32">
        <f>IF(K14="","",IF(D14&gt;0,K14/D14,"－"))</f>
        <v/>
      </c>
      <c r="N14" s="55">
        <f>IF(L14="","",IF(D14&gt;0,L14/D14,"－"))</f>
        <v/>
      </c>
      <c r="O14" s="50">
        <f>IF(AND(ISNUMBER(M14),ISNUMBER(N14)),(N14-M14)*100,IF($A14="","","－"))</f>
        <v/>
      </c>
      <c r="P14" s="49">
        <f>IF($A14="","",T14-N('案件'!L7))</f>
        <v/>
      </c>
      <c r="Q14" s="49">
        <f>IF($A14="","",U14-N('案件'!M7))</f>
        <v/>
      </c>
      <c r="R14" s="49">
        <f>IF($A14="","",V14-N('案件'!N7))</f>
        <v/>
      </c>
      <c r="S14" s="49">
        <f>IF($A14="","",W14-N('案件'!O7))</f>
        <v/>
      </c>
      <c r="T14" s="94">
        <f>IF($A14="","",SUMIFS('原価明細'!$K$5:$K$1504,'原価明細'!$B$5:$B$1504,$A14,'原価明細'!$D$5:$D$1504,"材料費"))</f>
        <v/>
      </c>
      <c r="U14" s="94">
        <f>IF($A14="","",SUMIFS('原価明細'!$K$5:$K$1504,'原価明細'!$B$5:$B$1504,$A14,'原価明細'!$D$5:$D$1504,"労務費"))</f>
        <v/>
      </c>
      <c r="V14" s="94">
        <f>IF($A14="","",SUMIFS('原価明細'!$K$5:$K$1504,'原価明細'!$B$5:$B$1504,$A14,'原価明細'!$D$5:$D$1504,"外注費"))</f>
        <v/>
      </c>
      <c r="W14" s="94">
        <f>IF($A14="","",SUMIFS('原価明細'!$K$5:$K$1504,'原価明細'!$B$5:$B$1504,$A14,'原価明細'!$D$5:$D$1504,"経費"))</f>
        <v/>
      </c>
      <c r="X14" s="95">
        <f>IF($A14="","",IF(ISNUMBER('案件'!G7),'案件'!G7,""))</f>
        <v/>
      </c>
      <c r="Y14" s="91">
        <f>IF($A14="",0,1)</f>
        <v/>
      </c>
    </row>
    <row r="15" ht="17" customHeight="1">
      <c r="A15" s="53">
        <f>IF('案件'!A8="","",'案件'!A8)</f>
        <v/>
      </c>
      <c r="B15" s="37">
        <f>IF($A15="","",'案件'!B8&amp;"")</f>
        <v/>
      </c>
      <c r="C15" s="53">
        <f>IF($A15="","",'案件'!H8&amp;"")</f>
        <v/>
      </c>
      <c r="D15" s="31">
        <f>IF($A15="","",IF(ISNUMBER('案件'!K8),'案件'!K8,""))</f>
        <v/>
      </c>
      <c r="E15" s="31">
        <f>IF($A15="","",SUM('案件'!L8:O8))</f>
        <v/>
      </c>
      <c r="F15" s="30">
        <f>IF($A15="","",SUM(T15:W15))</f>
        <v/>
      </c>
      <c r="G15" s="49">
        <f>IF($A15="","",F15-E15)</f>
        <v/>
      </c>
      <c r="H15" s="32">
        <f>IF($A15="","",IF(E15&gt;0,F15/E15,"－"))</f>
        <v/>
      </c>
      <c r="I15" s="54">
        <f>IF($A15="","",IF(F15=0,"",IF(E15&lt;=0,"予定なし",IF(F15&gt;E15,"超過",IF(AND(C15&lt;&gt;"完了",C15&lt;&gt;"中止",ISNUMBER('設定'!$B$6),'設定'!$B$6&gt;0,F15/E15&gt;='設定'!$B$6),"注意","予定内")))))</f>
        <v/>
      </c>
      <c r="J15" s="31">
        <f>IF($A15="","",IF(OR(C15="完了",C15="中止"),F15,MAX(T15,N('案件'!L8))+MAX(U15,N('案件'!M8))+MAX(V15,N('案件'!N8))+MAX(W15,N('案件'!O8))))</f>
        <v/>
      </c>
      <c r="K15" s="31">
        <f>IF(OR($A15="",NOT(ISNUMBER(D15))),"",D15-E15)</f>
        <v/>
      </c>
      <c r="L15" s="30">
        <f>IF(OR($A15="",NOT(ISNUMBER(D15))),"",D15-J15)</f>
        <v/>
      </c>
      <c r="M15" s="32">
        <f>IF(K15="","",IF(D15&gt;0,K15/D15,"－"))</f>
        <v/>
      </c>
      <c r="N15" s="55">
        <f>IF(L15="","",IF(D15&gt;0,L15/D15,"－"))</f>
        <v/>
      </c>
      <c r="O15" s="50">
        <f>IF(AND(ISNUMBER(M15),ISNUMBER(N15)),(N15-M15)*100,IF($A15="","","－"))</f>
        <v/>
      </c>
      <c r="P15" s="49">
        <f>IF($A15="","",T15-N('案件'!L8))</f>
        <v/>
      </c>
      <c r="Q15" s="49">
        <f>IF($A15="","",U15-N('案件'!M8))</f>
        <v/>
      </c>
      <c r="R15" s="49">
        <f>IF($A15="","",V15-N('案件'!N8))</f>
        <v/>
      </c>
      <c r="S15" s="49">
        <f>IF($A15="","",W15-N('案件'!O8))</f>
        <v/>
      </c>
      <c r="T15" s="94">
        <f>IF($A15="","",SUMIFS('原価明細'!$K$5:$K$1504,'原価明細'!$B$5:$B$1504,$A15,'原価明細'!$D$5:$D$1504,"材料費"))</f>
        <v/>
      </c>
      <c r="U15" s="94">
        <f>IF($A15="","",SUMIFS('原価明細'!$K$5:$K$1504,'原価明細'!$B$5:$B$1504,$A15,'原価明細'!$D$5:$D$1504,"労務費"))</f>
        <v/>
      </c>
      <c r="V15" s="94">
        <f>IF($A15="","",SUMIFS('原価明細'!$K$5:$K$1504,'原価明細'!$B$5:$B$1504,$A15,'原価明細'!$D$5:$D$1504,"外注費"))</f>
        <v/>
      </c>
      <c r="W15" s="94">
        <f>IF($A15="","",SUMIFS('原価明細'!$K$5:$K$1504,'原価明細'!$B$5:$B$1504,$A15,'原価明細'!$D$5:$D$1504,"経費"))</f>
        <v/>
      </c>
      <c r="X15" s="95">
        <f>IF($A15="","",IF(ISNUMBER('案件'!G8),'案件'!G8,""))</f>
        <v/>
      </c>
      <c r="Y15" s="91">
        <f>IF($A15="",0,1)</f>
        <v/>
      </c>
    </row>
    <row r="16" ht="17" customHeight="1">
      <c r="A16" s="53">
        <f>IF('案件'!A9="","",'案件'!A9)</f>
        <v/>
      </c>
      <c r="B16" s="37">
        <f>IF($A16="","",'案件'!B9&amp;"")</f>
        <v/>
      </c>
      <c r="C16" s="53">
        <f>IF($A16="","",'案件'!H9&amp;"")</f>
        <v/>
      </c>
      <c r="D16" s="31">
        <f>IF($A16="","",IF(ISNUMBER('案件'!K9),'案件'!K9,""))</f>
        <v/>
      </c>
      <c r="E16" s="31">
        <f>IF($A16="","",SUM('案件'!L9:O9))</f>
        <v/>
      </c>
      <c r="F16" s="30">
        <f>IF($A16="","",SUM(T16:W16))</f>
        <v/>
      </c>
      <c r="G16" s="49">
        <f>IF($A16="","",F16-E16)</f>
        <v/>
      </c>
      <c r="H16" s="32">
        <f>IF($A16="","",IF(E16&gt;0,F16/E16,"－"))</f>
        <v/>
      </c>
      <c r="I16" s="54">
        <f>IF($A16="","",IF(F16=0,"",IF(E16&lt;=0,"予定なし",IF(F16&gt;E16,"超過",IF(AND(C16&lt;&gt;"完了",C16&lt;&gt;"中止",ISNUMBER('設定'!$B$6),'設定'!$B$6&gt;0,F16/E16&gt;='設定'!$B$6),"注意","予定内")))))</f>
        <v/>
      </c>
      <c r="J16" s="31">
        <f>IF($A16="","",IF(OR(C16="完了",C16="中止"),F16,MAX(T16,N('案件'!L9))+MAX(U16,N('案件'!M9))+MAX(V16,N('案件'!N9))+MAX(W16,N('案件'!O9))))</f>
        <v/>
      </c>
      <c r="K16" s="31">
        <f>IF(OR($A16="",NOT(ISNUMBER(D16))),"",D16-E16)</f>
        <v/>
      </c>
      <c r="L16" s="30">
        <f>IF(OR($A16="",NOT(ISNUMBER(D16))),"",D16-J16)</f>
        <v/>
      </c>
      <c r="M16" s="32">
        <f>IF(K16="","",IF(D16&gt;0,K16/D16,"－"))</f>
        <v/>
      </c>
      <c r="N16" s="55">
        <f>IF(L16="","",IF(D16&gt;0,L16/D16,"－"))</f>
        <v/>
      </c>
      <c r="O16" s="50">
        <f>IF(AND(ISNUMBER(M16),ISNUMBER(N16)),(N16-M16)*100,IF($A16="","","－"))</f>
        <v/>
      </c>
      <c r="P16" s="49">
        <f>IF($A16="","",T16-N('案件'!L9))</f>
        <v/>
      </c>
      <c r="Q16" s="49">
        <f>IF($A16="","",U16-N('案件'!M9))</f>
        <v/>
      </c>
      <c r="R16" s="49">
        <f>IF($A16="","",V16-N('案件'!N9))</f>
        <v/>
      </c>
      <c r="S16" s="49">
        <f>IF($A16="","",W16-N('案件'!O9))</f>
        <v/>
      </c>
      <c r="T16" s="94">
        <f>IF($A16="","",SUMIFS('原価明細'!$K$5:$K$1504,'原価明細'!$B$5:$B$1504,$A16,'原価明細'!$D$5:$D$1504,"材料費"))</f>
        <v/>
      </c>
      <c r="U16" s="94">
        <f>IF($A16="","",SUMIFS('原価明細'!$K$5:$K$1504,'原価明細'!$B$5:$B$1504,$A16,'原価明細'!$D$5:$D$1504,"労務費"))</f>
        <v/>
      </c>
      <c r="V16" s="94">
        <f>IF($A16="","",SUMIFS('原価明細'!$K$5:$K$1504,'原価明細'!$B$5:$B$1504,$A16,'原価明細'!$D$5:$D$1504,"外注費"))</f>
        <v/>
      </c>
      <c r="W16" s="94">
        <f>IF($A16="","",SUMIFS('原価明細'!$K$5:$K$1504,'原価明細'!$B$5:$B$1504,$A16,'原価明細'!$D$5:$D$1504,"経費"))</f>
        <v/>
      </c>
      <c r="X16" s="95">
        <f>IF($A16="","",IF(ISNUMBER('案件'!G9),'案件'!G9,""))</f>
        <v/>
      </c>
      <c r="Y16" s="91">
        <f>IF($A16="",0,1)</f>
        <v/>
      </c>
    </row>
    <row r="17" ht="17" customHeight="1">
      <c r="A17" s="53">
        <f>IF('案件'!A10="","",'案件'!A10)</f>
        <v/>
      </c>
      <c r="B17" s="37">
        <f>IF($A17="","",'案件'!B10&amp;"")</f>
        <v/>
      </c>
      <c r="C17" s="53">
        <f>IF($A17="","",'案件'!H10&amp;"")</f>
        <v/>
      </c>
      <c r="D17" s="31">
        <f>IF($A17="","",IF(ISNUMBER('案件'!K10),'案件'!K10,""))</f>
        <v/>
      </c>
      <c r="E17" s="31">
        <f>IF($A17="","",SUM('案件'!L10:O10))</f>
        <v/>
      </c>
      <c r="F17" s="30">
        <f>IF($A17="","",SUM(T17:W17))</f>
        <v/>
      </c>
      <c r="G17" s="49">
        <f>IF($A17="","",F17-E17)</f>
        <v/>
      </c>
      <c r="H17" s="32">
        <f>IF($A17="","",IF(E17&gt;0,F17/E17,"－"))</f>
        <v/>
      </c>
      <c r="I17" s="54">
        <f>IF($A17="","",IF(F17=0,"",IF(E17&lt;=0,"予定なし",IF(F17&gt;E17,"超過",IF(AND(C17&lt;&gt;"完了",C17&lt;&gt;"中止",ISNUMBER('設定'!$B$6),'設定'!$B$6&gt;0,F17/E17&gt;='設定'!$B$6),"注意","予定内")))))</f>
        <v/>
      </c>
      <c r="J17" s="31">
        <f>IF($A17="","",IF(OR(C17="完了",C17="中止"),F17,MAX(T17,N('案件'!L10))+MAX(U17,N('案件'!M10))+MAX(V17,N('案件'!N10))+MAX(W17,N('案件'!O10))))</f>
        <v/>
      </c>
      <c r="K17" s="31">
        <f>IF(OR($A17="",NOT(ISNUMBER(D17))),"",D17-E17)</f>
        <v/>
      </c>
      <c r="L17" s="30">
        <f>IF(OR($A17="",NOT(ISNUMBER(D17))),"",D17-J17)</f>
        <v/>
      </c>
      <c r="M17" s="32">
        <f>IF(K17="","",IF(D17&gt;0,K17/D17,"－"))</f>
        <v/>
      </c>
      <c r="N17" s="55">
        <f>IF(L17="","",IF(D17&gt;0,L17/D17,"－"))</f>
        <v/>
      </c>
      <c r="O17" s="50">
        <f>IF(AND(ISNUMBER(M17),ISNUMBER(N17)),(N17-M17)*100,IF($A17="","","－"))</f>
        <v/>
      </c>
      <c r="P17" s="49">
        <f>IF($A17="","",T17-N('案件'!L10))</f>
        <v/>
      </c>
      <c r="Q17" s="49">
        <f>IF($A17="","",U17-N('案件'!M10))</f>
        <v/>
      </c>
      <c r="R17" s="49">
        <f>IF($A17="","",V17-N('案件'!N10))</f>
        <v/>
      </c>
      <c r="S17" s="49">
        <f>IF($A17="","",W17-N('案件'!O10))</f>
        <v/>
      </c>
      <c r="T17" s="94">
        <f>IF($A17="","",SUMIFS('原価明細'!$K$5:$K$1504,'原価明細'!$B$5:$B$1504,$A17,'原価明細'!$D$5:$D$1504,"材料費"))</f>
        <v/>
      </c>
      <c r="U17" s="94">
        <f>IF($A17="","",SUMIFS('原価明細'!$K$5:$K$1504,'原価明細'!$B$5:$B$1504,$A17,'原価明細'!$D$5:$D$1504,"労務費"))</f>
        <v/>
      </c>
      <c r="V17" s="94">
        <f>IF($A17="","",SUMIFS('原価明細'!$K$5:$K$1504,'原価明細'!$B$5:$B$1504,$A17,'原価明細'!$D$5:$D$1504,"外注費"))</f>
        <v/>
      </c>
      <c r="W17" s="94">
        <f>IF($A17="","",SUMIFS('原価明細'!$K$5:$K$1504,'原価明細'!$B$5:$B$1504,$A17,'原価明細'!$D$5:$D$1504,"経費"))</f>
        <v/>
      </c>
      <c r="X17" s="95">
        <f>IF($A17="","",IF(ISNUMBER('案件'!G10),'案件'!G10,""))</f>
        <v/>
      </c>
      <c r="Y17" s="91">
        <f>IF($A17="",0,1)</f>
        <v/>
      </c>
    </row>
    <row r="18" ht="17" customHeight="1">
      <c r="A18" s="53">
        <f>IF('案件'!A11="","",'案件'!A11)</f>
        <v/>
      </c>
      <c r="B18" s="37">
        <f>IF($A18="","",'案件'!B11&amp;"")</f>
        <v/>
      </c>
      <c r="C18" s="53">
        <f>IF($A18="","",'案件'!H11&amp;"")</f>
        <v/>
      </c>
      <c r="D18" s="31">
        <f>IF($A18="","",IF(ISNUMBER('案件'!K11),'案件'!K11,""))</f>
        <v/>
      </c>
      <c r="E18" s="31">
        <f>IF($A18="","",SUM('案件'!L11:O11))</f>
        <v/>
      </c>
      <c r="F18" s="30">
        <f>IF($A18="","",SUM(T18:W18))</f>
        <v/>
      </c>
      <c r="G18" s="49">
        <f>IF($A18="","",F18-E18)</f>
        <v/>
      </c>
      <c r="H18" s="32">
        <f>IF($A18="","",IF(E18&gt;0,F18/E18,"－"))</f>
        <v/>
      </c>
      <c r="I18" s="54">
        <f>IF($A18="","",IF(F18=0,"",IF(E18&lt;=0,"予定なし",IF(F18&gt;E18,"超過",IF(AND(C18&lt;&gt;"完了",C18&lt;&gt;"中止",ISNUMBER('設定'!$B$6),'設定'!$B$6&gt;0,F18/E18&gt;='設定'!$B$6),"注意","予定内")))))</f>
        <v/>
      </c>
      <c r="J18" s="31">
        <f>IF($A18="","",IF(OR(C18="完了",C18="中止"),F18,MAX(T18,N('案件'!L11))+MAX(U18,N('案件'!M11))+MAX(V18,N('案件'!N11))+MAX(W18,N('案件'!O11))))</f>
        <v/>
      </c>
      <c r="K18" s="31">
        <f>IF(OR($A18="",NOT(ISNUMBER(D18))),"",D18-E18)</f>
        <v/>
      </c>
      <c r="L18" s="30">
        <f>IF(OR($A18="",NOT(ISNUMBER(D18))),"",D18-J18)</f>
        <v/>
      </c>
      <c r="M18" s="32">
        <f>IF(K18="","",IF(D18&gt;0,K18/D18,"－"))</f>
        <v/>
      </c>
      <c r="N18" s="55">
        <f>IF(L18="","",IF(D18&gt;0,L18/D18,"－"))</f>
        <v/>
      </c>
      <c r="O18" s="50">
        <f>IF(AND(ISNUMBER(M18),ISNUMBER(N18)),(N18-M18)*100,IF($A18="","","－"))</f>
        <v/>
      </c>
      <c r="P18" s="49">
        <f>IF($A18="","",T18-N('案件'!L11))</f>
        <v/>
      </c>
      <c r="Q18" s="49">
        <f>IF($A18="","",U18-N('案件'!M11))</f>
        <v/>
      </c>
      <c r="R18" s="49">
        <f>IF($A18="","",V18-N('案件'!N11))</f>
        <v/>
      </c>
      <c r="S18" s="49">
        <f>IF($A18="","",W18-N('案件'!O11))</f>
        <v/>
      </c>
      <c r="T18" s="94">
        <f>IF($A18="","",SUMIFS('原価明細'!$K$5:$K$1504,'原価明細'!$B$5:$B$1504,$A18,'原価明細'!$D$5:$D$1504,"材料費"))</f>
        <v/>
      </c>
      <c r="U18" s="94">
        <f>IF($A18="","",SUMIFS('原価明細'!$K$5:$K$1504,'原価明細'!$B$5:$B$1504,$A18,'原価明細'!$D$5:$D$1504,"労務費"))</f>
        <v/>
      </c>
      <c r="V18" s="94">
        <f>IF($A18="","",SUMIFS('原価明細'!$K$5:$K$1504,'原価明細'!$B$5:$B$1504,$A18,'原価明細'!$D$5:$D$1504,"外注費"))</f>
        <v/>
      </c>
      <c r="W18" s="94">
        <f>IF($A18="","",SUMIFS('原価明細'!$K$5:$K$1504,'原価明細'!$B$5:$B$1504,$A18,'原価明細'!$D$5:$D$1504,"経費"))</f>
        <v/>
      </c>
      <c r="X18" s="95">
        <f>IF($A18="","",IF(ISNUMBER('案件'!G11),'案件'!G11,""))</f>
        <v/>
      </c>
      <c r="Y18" s="91">
        <f>IF($A18="",0,1)</f>
        <v/>
      </c>
    </row>
    <row r="19" ht="17" customHeight="1">
      <c r="A19" s="53">
        <f>IF('案件'!A12="","",'案件'!A12)</f>
        <v/>
      </c>
      <c r="B19" s="37">
        <f>IF($A19="","",'案件'!B12&amp;"")</f>
        <v/>
      </c>
      <c r="C19" s="53">
        <f>IF($A19="","",'案件'!H12&amp;"")</f>
        <v/>
      </c>
      <c r="D19" s="31">
        <f>IF($A19="","",IF(ISNUMBER('案件'!K12),'案件'!K12,""))</f>
        <v/>
      </c>
      <c r="E19" s="31">
        <f>IF($A19="","",SUM('案件'!L12:O12))</f>
        <v/>
      </c>
      <c r="F19" s="30">
        <f>IF($A19="","",SUM(T19:W19))</f>
        <v/>
      </c>
      <c r="G19" s="49">
        <f>IF($A19="","",F19-E19)</f>
        <v/>
      </c>
      <c r="H19" s="32">
        <f>IF($A19="","",IF(E19&gt;0,F19/E19,"－"))</f>
        <v/>
      </c>
      <c r="I19" s="54">
        <f>IF($A19="","",IF(F19=0,"",IF(E19&lt;=0,"予定なし",IF(F19&gt;E19,"超過",IF(AND(C19&lt;&gt;"完了",C19&lt;&gt;"中止",ISNUMBER('設定'!$B$6),'設定'!$B$6&gt;0,F19/E19&gt;='設定'!$B$6),"注意","予定内")))))</f>
        <v/>
      </c>
      <c r="J19" s="31">
        <f>IF($A19="","",IF(OR(C19="完了",C19="中止"),F19,MAX(T19,N('案件'!L12))+MAX(U19,N('案件'!M12))+MAX(V19,N('案件'!N12))+MAX(W19,N('案件'!O12))))</f>
        <v/>
      </c>
      <c r="K19" s="31">
        <f>IF(OR($A19="",NOT(ISNUMBER(D19))),"",D19-E19)</f>
        <v/>
      </c>
      <c r="L19" s="30">
        <f>IF(OR($A19="",NOT(ISNUMBER(D19))),"",D19-J19)</f>
        <v/>
      </c>
      <c r="M19" s="32">
        <f>IF(K19="","",IF(D19&gt;0,K19/D19,"－"))</f>
        <v/>
      </c>
      <c r="N19" s="55">
        <f>IF(L19="","",IF(D19&gt;0,L19/D19,"－"))</f>
        <v/>
      </c>
      <c r="O19" s="50">
        <f>IF(AND(ISNUMBER(M19),ISNUMBER(N19)),(N19-M19)*100,IF($A19="","","－"))</f>
        <v/>
      </c>
      <c r="P19" s="49">
        <f>IF($A19="","",T19-N('案件'!L12))</f>
        <v/>
      </c>
      <c r="Q19" s="49">
        <f>IF($A19="","",U19-N('案件'!M12))</f>
        <v/>
      </c>
      <c r="R19" s="49">
        <f>IF($A19="","",V19-N('案件'!N12))</f>
        <v/>
      </c>
      <c r="S19" s="49">
        <f>IF($A19="","",W19-N('案件'!O12))</f>
        <v/>
      </c>
      <c r="T19" s="94">
        <f>IF($A19="","",SUMIFS('原価明細'!$K$5:$K$1504,'原価明細'!$B$5:$B$1504,$A19,'原価明細'!$D$5:$D$1504,"材料費"))</f>
        <v/>
      </c>
      <c r="U19" s="94">
        <f>IF($A19="","",SUMIFS('原価明細'!$K$5:$K$1504,'原価明細'!$B$5:$B$1504,$A19,'原価明細'!$D$5:$D$1504,"労務費"))</f>
        <v/>
      </c>
      <c r="V19" s="94">
        <f>IF($A19="","",SUMIFS('原価明細'!$K$5:$K$1504,'原価明細'!$B$5:$B$1504,$A19,'原価明細'!$D$5:$D$1504,"外注費"))</f>
        <v/>
      </c>
      <c r="W19" s="94">
        <f>IF($A19="","",SUMIFS('原価明細'!$K$5:$K$1504,'原価明細'!$B$5:$B$1504,$A19,'原価明細'!$D$5:$D$1504,"経費"))</f>
        <v/>
      </c>
      <c r="X19" s="95">
        <f>IF($A19="","",IF(ISNUMBER('案件'!G12),'案件'!G12,""))</f>
        <v/>
      </c>
      <c r="Y19" s="91">
        <f>IF($A19="",0,1)</f>
        <v/>
      </c>
    </row>
    <row r="20" ht="17" customHeight="1">
      <c r="A20" s="53">
        <f>IF('案件'!A13="","",'案件'!A13)</f>
        <v/>
      </c>
      <c r="B20" s="37">
        <f>IF($A20="","",'案件'!B13&amp;"")</f>
        <v/>
      </c>
      <c r="C20" s="53">
        <f>IF($A20="","",'案件'!H13&amp;"")</f>
        <v/>
      </c>
      <c r="D20" s="31">
        <f>IF($A20="","",IF(ISNUMBER('案件'!K13),'案件'!K13,""))</f>
        <v/>
      </c>
      <c r="E20" s="31">
        <f>IF($A20="","",SUM('案件'!L13:O13))</f>
        <v/>
      </c>
      <c r="F20" s="30">
        <f>IF($A20="","",SUM(T20:W20))</f>
        <v/>
      </c>
      <c r="G20" s="49">
        <f>IF($A20="","",F20-E20)</f>
        <v/>
      </c>
      <c r="H20" s="32">
        <f>IF($A20="","",IF(E20&gt;0,F20/E20,"－"))</f>
        <v/>
      </c>
      <c r="I20" s="54">
        <f>IF($A20="","",IF(F20=0,"",IF(E20&lt;=0,"予定なし",IF(F20&gt;E20,"超過",IF(AND(C20&lt;&gt;"完了",C20&lt;&gt;"中止",ISNUMBER('設定'!$B$6),'設定'!$B$6&gt;0,F20/E20&gt;='設定'!$B$6),"注意","予定内")))))</f>
        <v/>
      </c>
      <c r="J20" s="31">
        <f>IF($A20="","",IF(OR(C20="完了",C20="中止"),F20,MAX(T20,N('案件'!L13))+MAX(U20,N('案件'!M13))+MAX(V20,N('案件'!N13))+MAX(W20,N('案件'!O13))))</f>
        <v/>
      </c>
      <c r="K20" s="31">
        <f>IF(OR($A20="",NOT(ISNUMBER(D20))),"",D20-E20)</f>
        <v/>
      </c>
      <c r="L20" s="30">
        <f>IF(OR($A20="",NOT(ISNUMBER(D20))),"",D20-J20)</f>
        <v/>
      </c>
      <c r="M20" s="32">
        <f>IF(K20="","",IF(D20&gt;0,K20/D20,"－"))</f>
        <v/>
      </c>
      <c r="N20" s="55">
        <f>IF(L20="","",IF(D20&gt;0,L20/D20,"－"))</f>
        <v/>
      </c>
      <c r="O20" s="50">
        <f>IF(AND(ISNUMBER(M20),ISNUMBER(N20)),(N20-M20)*100,IF($A20="","","－"))</f>
        <v/>
      </c>
      <c r="P20" s="49">
        <f>IF($A20="","",T20-N('案件'!L13))</f>
        <v/>
      </c>
      <c r="Q20" s="49">
        <f>IF($A20="","",U20-N('案件'!M13))</f>
        <v/>
      </c>
      <c r="R20" s="49">
        <f>IF($A20="","",V20-N('案件'!N13))</f>
        <v/>
      </c>
      <c r="S20" s="49">
        <f>IF($A20="","",W20-N('案件'!O13))</f>
        <v/>
      </c>
      <c r="T20" s="94">
        <f>IF($A20="","",SUMIFS('原価明細'!$K$5:$K$1504,'原価明細'!$B$5:$B$1504,$A20,'原価明細'!$D$5:$D$1504,"材料費"))</f>
        <v/>
      </c>
      <c r="U20" s="94">
        <f>IF($A20="","",SUMIFS('原価明細'!$K$5:$K$1504,'原価明細'!$B$5:$B$1504,$A20,'原価明細'!$D$5:$D$1504,"労務費"))</f>
        <v/>
      </c>
      <c r="V20" s="94">
        <f>IF($A20="","",SUMIFS('原価明細'!$K$5:$K$1504,'原価明細'!$B$5:$B$1504,$A20,'原価明細'!$D$5:$D$1504,"外注費"))</f>
        <v/>
      </c>
      <c r="W20" s="94">
        <f>IF($A20="","",SUMIFS('原価明細'!$K$5:$K$1504,'原価明細'!$B$5:$B$1504,$A20,'原価明細'!$D$5:$D$1504,"経費"))</f>
        <v/>
      </c>
      <c r="X20" s="95">
        <f>IF($A20="","",IF(ISNUMBER('案件'!G13),'案件'!G13,""))</f>
        <v/>
      </c>
      <c r="Y20" s="91">
        <f>IF($A20="",0,1)</f>
        <v/>
      </c>
    </row>
    <row r="21" ht="17" customHeight="1">
      <c r="A21" s="53">
        <f>IF('案件'!A14="","",'案件'!A14)</f>
        <v/>
      </c>
      <c r="B21" s="37">
        <f>IF($A21="","",'案件'!B14&amp;"")</f>
        <v/>
      </c>
      <c r="C21" s="53">
        <f>IF($A21="","",'案件'!H14&amp;"")</f>
        <v/>
      </c>
      <c r="D21" s="31">
        <f>IF($A21="","",IF(ISNUMBER('案件'!K14),'案件'!K14,""))</f>
        <v/>
      </c>
      <c r="E21" s="31">
        <f>IF($A21="","",SUM('案件'!L14:O14))</f>
        <v/>
      </c>
      <c r="F21" s="30">
        <f>IF($A21="","",SUM(T21:W21))</f>
        <v/>
      </c>
      <c r="G21" s="49">
        <f>IF($A21="","",F21-E21)</f>
        <v/>
      </c>
      <c r="H21" s="32">
        <f>IF($A21="","",IF(E21&gt;0,F21/E21,"－"))</f>
        <v/>
      </c>
      <c r="I21" s="54">
        <f>IF($A21="","",IF(F21=0,"",IF(E21&lt;=0,"予定なし",IF(F21&gt;E21,"超過",IF(AND(C21&lt;&gt;"完了",C21&lt;&gt;"中止",ISNUMBER('設定'!$B$6),'設定'!$B$6&gt;0,F21/E21&gt;='設定'!$B$6),"注意","予定内")))))</f>
        <v/>
      </c>
      <c r="J21" s="31">
        <f>IF($A21="","",IF(OR(C21="完了",C21="中止"),F21,MAX(T21,N('案件'!L14))+MAX(U21,N('案件'!M14))+MAX(V21,N('案件'!N14))+MAX(W21,N('案件'!O14))))</f>
        <v/>
      </c>
      <c r="K21" s="31">
        <f>IF(OR($A21="",NOT(ISNUMBER(D21))),"",D21-E21)</f>
        <v/>
      </c>
      <c r="L21" s="30">
        <f>IF(OR($A21="",NOT(ISNUMBER(D21))),"",D21-J21)</f>
        <v/>
      </c>
      <c r="M21" s="32">
        <f>IF(K21="","",IF(D21&gt;0,K21/D21,"－"))</f>
        <v/>
      </c>
      <c r="N21" s="55">
        <f>IF(L21="","",IF(D21&gt;0,L21/D21,"－"))</f>
        <v/>
      </c>
      <c r="O21" s="50">
        <f>IF(AND(ISNUMBER(M21),ISNUMBER(N21)),(N21-M21)*100,IF($A21="","","－"))</f>
        <v/>
      </c>
      <c r="P21" s="49">
        <f>IF($A21="","",T21-N('案件'!L14))</f>
        <v/>
      </c>
      <c r="Q21" s="49">
        <f>IF($A21="","",U21-N('案件'!M14))</f>
        <v/>
      </c>
      <c r="R21" s="49">
        <f>IF($A21="","",V21-N('案件'!N14))</f>
        <v/>
      </c>
      <c r="S21" s="49">
        <f>IF($A21="","",W21-N('案件'!O14))</f>
        <v/>
      </c>
      <c r="T21" s="94">
        <f>IF($A21="","",SUMIFS('原価明細'!$K$5:$K$1504,'原価明細'!$B$5:$B$1504,$A21,'原価明細'!$D$5:$D$1504,"材料費"))</f>
        <v/>
      </c>
      <c r="U21" s="94">
        <f>IF($A21="","",SUMIFS('原価明細'!$K$5:$K$1504,'原価明細'!$B$5:$B$1504,$A21,'原価明細'!$D$5:$D$1504,"労務費"))</f>
        <v/>
      </c>
      <c r="V21" s="94">
        <f>IF($A21="","",SUMIFS('原価明細'!$K$5:$K$1504,'原価明細'!$B$5:$B$1504,$A21,'原価明細'!$D$5:$D$1504,"外注費"))</f>
        <v/>
      </c>
      <c r="W21" s="94">
        <f>IF($A21="","",SUMIFS('原価明細'!$K$5:$K$1504,'原価明細'!$B$5:$B$1504,$A21,'原価明細'!$D$5:$D$1504,"経費"))</f>
        <v/>
      </c>
      <c r="X21" s="95">
        <f>IF($A21="","",IF(ISNUMBER('案件'!G14),'案件'!G14,""))</f>
        <v/>
      </c>
      <c r="Y21" s="91">
        <f>IF($A21="",0,1)</f>
        <v/>
      </c>
    </row>
    <row r="22" ht="17" customHeight="1">
      <c r="A22" s="53">
        <f>IF('案件'!A15="","",'案件'!A15)</f>
        <v/>
      </c>
      <c r="B22" s="37">
        <f>IF($A22="","",'案件'!B15&amp;"")</f>
        <v/>
      </c>
      <c r="C22" s="53">
        <f>IF($A22="","",'案件'!H15&amp;"")</f>
        <v/>
      </c>
      <c r="D22" s="31">
        <f>IF($A22="","",IF(ISNUMBER('案件'!K15),'案件'!K15,""))</f>
        <v/>
      </c>
      <c r="E22" s="31">
        <f>IF($A22="","",SUM('案件'!L15:O15))</f>
        <v/>
      </c>
      <c r="F22" s="30">
        <f>IF($A22="","",SUM(T22:W22))</f>
        <v/>
      </c>
      <c r="G22" s="49">
        <f>IF($A22="","",F22-E22)</f>
        <v/>
      </c>
      <c r="H22" s="32">
        <f>IF($A22="","",IF(E22&gt;0,F22/E22,"－"))</f>
        <v/>
      </c>
      <c r="I22" s="54">
        <f>IF($A22="","",IF(F22=0,"",IF(E22&lt;=0,"予定なし",IF(F22&gt;E22,"超過",IF(AND(C22&lt;&gt;"完了",C22&lt;&gt;"中止",ISNUMBER('設定'!$B$6),'設定'!$B$6&gt;0,F22/E22&gt;='設定'!$B$6),"注意","予定内")))))</f>
        <v/>
      </c>
      <c r="J22" s="31">
        <f>IF($A22="","",IF(OR(C22="完了",C22="中止"),F22,MAX(T22,N('案件'!L15))+MAX(U22,N('案件'!M15))+MAX(V22,N('案件'!N15))+MAX(W22,N('案件'!O15))))</f>
        <v/>
      </c>
      <c r="K22" s="31">
        <f>IF(OR($A22="",NOT(ISNUMBER(D22))),"",D22-E22)</f>
        <v/>
      </c>
      <c r="L22" s="30">
        <f>IF(OR($A22="",NOT(ISNUMBER(D22))),"",D22-J22)</f>
        <v/>
      </c>
      <c r="M22" s="32">
        <f>IF(K22="","",IF(D22&gt;0,K22/D22,"－"))</f>
        <v/>
      </c>
      <c r="N22" s="55">
        <f>IF(L22="","",IF(D22&gt;0,L22/D22,"－"))</f>
        <v/>
      </c>
      <c r="O22" s="50">
        <f>IF(AND(ISNUMBER(M22),ISNUMBER(N22)),(N22-M22)*100,IF($A22="","","－"))</f>
        <v/>
      </c>
      <c r="P22" s="49">
        <f>IF($A22="","",T22-N('案件'!L15))</f>
        <v/>
      </c>
      <c r="Q22" s="49">
        <f>IF($A22="","",U22-N('案件'!M15))</f>
        <v/>
      </c>
      <c r="R22" s="49">
        <f>IF($A22="","",V22-N('案件'!N15))</f>
        <v/>
      </c>
      <c r="S22" s="49">
        <f>IF($A22="","",W22-N('案件'!O15))</f>
        <v/>
      </c>
      <c r="T22" s="94">
        <f>IF($A22="","",SUMIFS('原価明細'!$K$5:$K$1504,'原価明細'!$B$5:$B$1504,$A22,'原価明細'!$D$5:$D$1504,"材料費"))</f>
        <v/>
      </c>
      <c r="U22" s="94">
        <f>IF($A22="","",SUMIFS('原価明細'!$K$5:$K$1504,'原価明細'!$B$5:$B$1504,$A22,'原価明細'!$D$5:$D$1504,"労務費"))</f>
        <v/>
      </c>
      <c r="V22" s="94">
        <f>IF($A22="","",SUMIFS('原価明細'!$K$5:$K$1504,'原価明細'!$B$5:$B$1504,$A22,'原価明細'!$D$5:$D$1504,"外注費"))</f>
        <v/>
      </c>
      <c r="W22" s="94">
        <f>IF($A22="","",SUMIFS('原価明細'!$K$5:$K$1504,'原価明細'!$B$5:$B$1504,$A22,'原価明細'!$D$5:$D$1504,"経費"))</f>
        <v/>
      </c>
      <c r="X22" s="95">
        <f>IF($A22="","",IF(ISNUMBER('案件'!G15),'案件'!G15,""))</f>
        <v/>
      </c>
      <c r="Y22" s="91">
        <f>IF($A22="",0,1)</f>
        <v/>
      </c>
    </row>
    <row r="23" ht="17" customHeight="1">
      <c r="A23" s="53">
        <f>IF('案件'!A16="","",'案件'!A16)</f>
        <v/>
      </c>
      <c r="B23" s="37">
        <f>IF($A23="","",'案件'!B16&amp;"")</f>
        <v/>
      </c>
      <c r="C23" s="53">
        <f>IF($A23="","",'案件'!H16&amp;"")</f>
        <v/>
      </c>
      <c r="D23" s="31">
        <f>IF($A23="","",IF(ISNUMBER('案件'!K16),'案件'!K16,""))</f>
        <v/>
      </c>
      <c r="E23" s="31">
        <f>IF($A23="","",SUM('案件'!L16:O16))</f>
        <v/>
      </c>
      <c r="F23" s="30">
        <f>IF($A23="","",SUM(T23:W23))</f>
        <v/>
      </c>
      <c r="G23" s="49">
        <f>IF($A23="","",F23-E23)</f>
        <v/>
      </c>
      <c r="H23" s="32">
        <f>IF($A23="","",IF(E23&gt;0,F23/E23,"－"))</f>
        <v/>
      </c>
      <c r="I23" s="54">
        <f>IF($A23="","",IF(F23=0,"",IF(E23&lt;=0,"予定なし",IF(F23&gt;E23,"超過",IF(AND(C23&lt;&gt;"完了",C23&lt;&gt;"中止",ISNUMBER('設定'!$B$6),'設定'!$B$6&gt;0,F23/E23&gt;='設定'!$B$6),"注意","予定内")))))</f>
        <v/>
      </c>
      <c r="J23" s="31">
        <f>IF($A23="","",IF(OR(C23="完了",C23="中止"),F23,MAX(T23,N('案件'!L16))+MAX(U23,N('案件'!M16))+MAX(V23,N('案件'!N16))+MAX(W23,N('案件'!O16))))</f>
        <v/>
      </c>
      <c r="K23" s="31">
        <f>IF(OR($A23="",NOT(ISNUMBER(D23))),"",D23-E23)</f>
        <v/>
      </c>
      <c r="L23" s="30">
        <f>IF(OR($A23="",NOT(ISNUMBER(D23))),"",D23-J23)</f>
        <v/>
      </c>
      <c r="M23" s="32">
        <f>IF(K23="","",IF(D23&gt;0,K23/D23,"－"))</f>
        <v/>
      </c>
      <c r="N23" s="55">
        <f>IF(L23="","",IF(D23&gt;0,L23/D23,"－"))</f>
        <v/>
      </c>
      <c r="O23" s="50">
        <f>IF(AND(ISNUMBER(M23),ISNUMBER(N23)),(N23-M23)*100,IF($A23="","","－"))</f>
        <v/>
      </c>
      <c r="P23" s="49">
        <f>IF($A23="","",T23-N('案件'!L16))</f>
        <v/>
      </c>
      <c r="Q23" s="49">
        <f>IF($A23="","",U23-N('案件'!M16))</f>
        <v/>
      </c>
      <c r="R23" s="49">
        <f>IF($A23="","",V23-N('案件'!N16))</f>
        <v/>
      </c>
      <c r="S23" s="49">
        <f>IF($A23="","",W23-N('案件'!O16))</f>
        <v/>
      </c>
      <c r="T23" s="94">
        <f>IF($A23="","",SUMIFS('原価明細'!$K$5:$K$1504,'原価明細'!$B$5:$B$1504,$A23,'原価明細'!$D$5:$D$1504,"材料費"))</f>
        <v/>
      </c>
      <c r="U23" s="94">
        <f>IF($A23="","",SUMIFS('原価明細'!$K$5:$K$1504,'原価明細'!$B$5:$B$1504,$A23,'原価明細'!$D$5:$D$1504,"労務費"))</f>
        <v/>
      </c>
      <c r="V23" s="94">
        <f>IF($A23="","",SUMIFS('原価明細'!$K$5:$K$1504,'原価明細'!$B$5:$B$1504,$A23,'原価明細'!$D$5:$D$1504,"外注費"))</f>
        <v/>
      </c>
      <c r="W23" s="94">
        <f>IF($A23="","",SUMIFS('原価明細'!$K$5:$K$1504,'原価明細'!$B$5:$B$1504,$A23,'原価明細'!$D$5:$D$1504,"経費"))</f>
        <v/>
      </c>
      <c r="X23" s="95">
        <f>IF($A23="","",IF(ISNUMBER('案件'!G16),'案件'!G16,""))</f>
        <v/>
      </c>
      <c r="Y23" s="91">
        <f>IF($A23="",0,1)</f>
        <v/>
      </c>
    </row>
    <row r="24" ht="17" customHeight="1">
      <c r="A24" s="53">
        <f>IF('案件'!A17="","",'案件'!A17)</f>
        <v/>
      </c>
      <c r="B24" s="37">
        <f>IF($A24="","",'案件'!B17&amp;"")</f>
        <v/>
      </c>
      <c r="C24" s="53">
        <f>IF($A24="","",'案件'!H17&amp;"")</f>
        <v/>
      </c>
      <c r="D24" s="31">
        <f>IF($A24="","",IF(ISNUMBER('案件'!K17),'案件'!K17,""))</f>
        <v/>
      </c>
      <c r="E24" s="31">
        <f>IF($A24="","",SUM('案件'!L17:O17))</f>
        <v/>
      </c>
      <c r="F24" s="30">
        <f>IF($A24="","",SUM(T24:W24))</f>
        <v/>
      </c>
      <c r="G24" s="49">
        <f>IF($A24="","",F24-E24)</f>
        <v/>
      </c>
      <c r="H24" s="32">
        <f>IF($A24="","",IF(E24&gt;0,F24/E24,"－"))</f>
        <v/>
      </c>
      <c r="I24" s="54">
        <f>IF($A24="","",IF(F24=0,"",IF(E24&lt;=0,"予定なし",IF(F24&gt;E24,"超過",IF(AND(C24&lt;&gt;"完了",C24&lt;&gt;"中止",ISNUMBER('設定'!$B$6),'設定'!$B$6&gt;0,F24/E24&gt;='設定'!$B$6),"注意","予定内")))))</f>
        <v/>
      </c>
      <c r="J24" s="31">
        <f>IF($A24="","",IF(OR(C24="完了",C24="中止"),F24,MAX(T24,N('案件'!L17))+MAX(U24,N('案件'!M17))+MAX(V24,N('案件'!N17))+MAX(W24,N('案件'!O17))))</f>
        <v/>
      </c>
      <c r="K24" s="31">
        <f>IF(OR($A24="",NOT(ISNUMBER(D24))),"",D24-E24)</f>
        <v/>
      </c>
      <c r="L24" s="30">
        <f>IF(OR($A24="",NOT(ISNUMBER(D24))),"",D24-J24)</f>
        <v/>
      </c>
      <c r="M24" s="32">
        <f>IF(K24="","",IF(D24&gt;0,K24/D24,"－"))</f>
        <v/>
      </c>
      <c r="N24" s="55">
        <f>IF(L24="","",IF(D24&gt;0,L24/D24,"－"))</f>
        <v/>
      </c>
      <c r="O24" s="50">
        <f>IF(AND(ISNUMBER(M24),ISNUMBER(N24)),(N24-M24)*100,IF($A24="","","－"))</f>
        <v/>
      </c>
      <c r="P24" s="49">
        <f>IF($A24="","",T24-N('案件'!L17))</f>
        <v/>
      </c>
      <c r="Q24" s="49">
        <f>IF($A24="","",U24-N('案件'!M17))</f>
        <v/>
      </c>
      <c r="R24" s="49">
        <f>IF($A24="","",V24-N('案件'!N17))</f>
        <v/>
      </c>
      <c r="S24" s="49">
        <f>IF($A24="","",W24-N('案件'!O17))</f>
        <v/>
      </c>
      <c r="T24" s="94">
        <f>IF($A24="","",SUMIFS('原価明細'!$K$5:$K$1504,'原価明細'!$B$5:$B$1504,$A24,'原価明細'!$D$5:$D$1504,"材料費"))</f>
        <v/>
      </c>
      <c r="U24" s="94">
        <f>IF($A24="","",SUMIFS('原価明細'!$K$5:$K$1504,'原価明細'!$B$5:$B$1504,$A24,'原価明細'!$D$5:$D$1504,"労務費"))</f>
        <v/>
      </c>
      <c r="V24" s="94">
        <f>IF($A24="","",SUMIFS('原価明細'!$K$5:$K$1504,'原価明細'!$B$5:$B$1504,$A24,'原価明細'!$D$5:$D$1504,"外注費"))</f>
        <v/>
      </c>
      <c r="W24" s="94">
        <f>IF($A24="","",SUMIFS('原価明細'!$K$5:$K$1504,'原価明細'!$B$5:$B$1504,$A24,'原価明細'!$D$5:$D$1504,"経費"))</f>
        <v/>
      </c>
      <c r="X24" s="95">
        <f>IF($A24="","",IF(ISNUMBER('案件'!G17),'案件'!G17,""))</f>
        <v/>
      </c>
      <c r="Y24" s="91">
        <f>IF($A24="",0,1)</f>
        <v/>
      </c>
    </row>
    <row r="25" ht="17" customHeight="1">
      <c r="A25" s="53">
        <f>IF('案件'!A18="","",'案件'!A18)</f>
        <v/>
      </c>
      <c r="B25" s="37">
        <f>IF($A25="","",'案件'!B18&amp;"")</f>
        <v/>
      </c>
      <c r="C25" s="53">
        <f>IF($A25="","",'案件'!H18&amp;"")</f>
        <v/>
      </c>
      <c r="D25" s="31">
        <f>IF($A25="","",IF(ISNUMBER('案件'!K18),'案件'!K18,""))</f>
        <v/>
      </c>
      <c r="E25" s="31">
        <f>IF($A25="","",SUM('案件'!L18:O18))</f>
        <v/>
      </c>
      <c r="F25" s="30">
        <f>IF($A25="","",SUM(T25:W25))</f>
        <v/>
      </c>
      <c r="G25" s="49">
        <f>IF($A25="","",F25-E25)</f>
        <v/>
      </c>
      <c r="H25" s="32">
        <f>IF($A25="","",IF(E25&gt;0,F25/E25,"－"))</f>
        <v/>
      </c>
      <c r="I25" s="54">
        <f>IF($A25="","",IF(F25=0,"",IF(E25&lt;=0,"予定なし",IF(F25&gt;E25,"超過",IF(AND(C25&lt;&gt;"完了",C25&lt;&gt;"中止",ISNUMBER('設定'!$B$6),'設定'!$B$6&gt;0,F25/E25&gt;='設定'!$B$6),"注意","予定内")))))</f>
        <v/>
      </c>
      <c r="J25" s="31">
        <f>IF($A25="","",IF(OR(C25="完了",C25="中止"),F25,MAX(T25,N('案件'!L18))+MAX(U25,N('案件'!M18))+MAX(V25,N('案件'!N18))+MAX(W25,N('案件'!O18))))</f>
        <v/>
      </c>
      <c r="K25" s="31">
        <f>IF(OR($A25="",NOT(ISNUMBER(D25))),"",D25-E25)</f>
        <v/>
      </c>
      <c r="L25" s="30">
        <f>IF(OR($A25="",NOT(ISNUMBER(D25))),"",D25-J25)</f>
        <v/>
      </c>
      <c r="M25" s="32">
        <f>IF(K25="","",IF(D25&gt;0,K25/D25,"－"))</f>
        <v/>
      </c>
      <c r="N25" s="55">
        <f>IF(L25="","",IF(D25&gt;0,L25/D25,"－"))</f>
        <v/>
      </c>
      <c r="O25" s="50">
        <f>IF(AND(ISNUMBER(M25),ISNUMBER(N25)),(N25-M25)*100,IF($A25="","","－"))</f>
        <v/>
      </c>
      <c r="P25" s="49">
        <f>IF($A25="","",T25-N('案件'!L18))</f>
        <v/>
      </c>
      <c r="Q25" s="49">
        <f>IF($A25="","",U25-N('案件'!M18))</f>
        <v/>
      </c>
      <c r="R25" s="49">
        <f>IF($A25="","",V25-N('案件'!N18))</f>
        <v/>
      </c>
      <c r="S25" s="49">
        <f>IF($A25="","",W25-N('案件'!O18))</f>
        <v/>
      </c>
      <c r="T25" s="94">
        <f>IF($A25="","",SUMIFS('原価明細'!$K$5:$K$1504,'原価明細'!$B$5:$B$1504,$A25,'原価明細'!$D$5:$D$1504,"材料費"))</f>
        <v/>
      </c>
      <c r="U25" s="94">
        <f>IF($A25="","",SUMIFS('原価明細'!$K$5:$K$1504,'原価明細'!$B$5:$B$1504,$A25,'原価明細'!$D$5:$D$1504,"労務費"))</f>
        <v/>
      </c>
      <c r="V25" s="94">
        <f>IF($A25="","",SUMIFS('原価明細'!$K$5:$K$1504,'原価明細'!$B$5:$B$1504,$A25,'原価明細'!$D$5:$D$1504,"外注費"))</f>
        <v/>
      </c>
      <c r="W25" s="94">
        <f>IF($A25="","",SUMIFS('原価明細'!$K$5:$K$1504,'原価明細'!$B$5:$B$1504,$A25,'原価明細'!$D$5:$D$1504,"経費"))</f>
        <v/>
      </c>
      <c r="X25" s="95">
        <f>IF($A25="","",IF(ISNUMBER('案件'!G18),'案件'!G18,""))</f>
        <v/>
      </c>
      <c r="Y25" s="91">
        <f>IF($A25="",0,1)</f>
        <v/>
      </c>
    </row>
    <row r="26" ht="17" customHeight="1">
      <c r="A26" s="53">
        <f>IF('案件'!A19="","",'案件'!A19)</f>
        <v/>
      </c>
      <c r="B26" s="37">
        <f>IF($A26="","",'案件'!B19&amp;"")</f>
        <v/>
      </c>
      <c r="C26" s="53">
        <f>IF($A26="","",'案件'!H19&amp;"")</f>
        <v/>
      </c>
      <c r="D26" s="31">
        <f>IF($A26="","",IF(ISNUMBER('案件'!K19),'案件'!K19,""))</f>
        <v/>
      </c>
      <c r="E26" s="31">
        <f>IF($A26="","",SUM('案件'!L19:O19))</f>
        <v/>
      </c>
      <c r="F26" s="30">
        <f>IF($A26="","",SUM(T26:W26))</f>
        <v/>
      </c>
      <c r="G26" s="49">
        <f>IF($A26="","",F26-E26)</f>
        <v/>
      </c>
      <c r="H26" s="32">
        <f>IF($A26="","",IF(E26&gt;0,F26/E26,"－"))</f>
        <v/>
      </c>
      <c r="I26" s="54">
        <f>IF($A26="","",IF(F26=0,"",IF(E26&lt;=0,"予定なし",IF(F26&gt;E26,"超過",IF(AND(C26&lt;&gt;"完了",C26&lt;&gt;"中止",ISNUMBER('設定'!$B$6),'設定'!$B$6&gt;0,F26/E26&gt;='設定'!$B$6),"注意","予定内")))))</f>
        <v/>
      </c>
      <c r="J26" s="31">
        <f>IF($A26="","",IF(OR(C26="完了",C26="中止"),F26,MAX(T26,N('案件'!L19))+MAX(U26,N('案件'!M19))+MAX(V26,N('案件'!N19))+MAX(W26,N('案件'!O19))))</f>
        <v/>
      </c>
      <c r="K26" s="31">
        <f>IF(OR($A26="",NOT(ISNUMBER(D26))),"",D26-E26)</f>
        <v/>
      </c>
      <c r="L26" s="30">
        <f>IF(OR($A26="",NOT(ISNUMBER(D26))),"",D26-J26)</f>
        <v/>
      </c>
      <c r="M26" s="32">
        <f>IF(K26="","",IF(D26&gt;0,K26/D26,"－"))</f>
        <v/>
      </c>
      <c r="N26" s="55">
        <f>IF(L26="","",IF(D26&gt;0,L26/D26,"－"))</f>
        <v/>
      </c>
      <c r="O26" s="50">
        <f>IF(AND(ISNUMBER(M26),ISNUMBER(N26)),(N26-M26)*100,IF($A26="","","－"))</f>
        <v/>
      </c>
      <c r="P26" s="49">
        <f>IF($A26="","",T26-N('案件'!L19))</f>
        <v/>
      </c>
      <c r="Q26" s="49">
        <f>IF($A26="","",U26-N('案件'!M19))</f>
        <v/>
      </c>
      <c r="R26" s="49">
        <f>IF($A26="","",V26-N('案件'!N19))</f>
        <v/>
      </c>
      <c r="S26" s="49">
        <f>IF($A26="","",W26-N('案件'!O19))</f>
        <v/>
      </c>
      <c r="T26" s="94">
        <f>IF($A26="","",SUMIFS('原価明細'!$K$5:$K$1504,'原価明細'!$B$5:$B$1504,$A26,'原価明細'!$D$5:$D$1504,"材料費"))</f>
        <v/>
      </c>
      <c r="U26" s="94">
        <f>IF($A26="","",SUMIFS('原価明細'!$K$5:$K$1504,'原価明細'!$B$5:$B$1504,$A26,'原価明細'!$D$5:$D$1504,"労務費"))</f>
        <v/>
      </c>
      <c r="V26" s="94">
        <f>IF($A26="","",SUMIFS('原価明細'!$K$5:$K$1504,'原価明細'!$B$5:$B$1504,$A26,'原価明細'!$D$5:$D$1504,"外注費"))</f>
        <v/>
      </c>
      <c r="W26" s="94">
        <f>IF($A26="","",SUMIFS('原価明細'!$K$5:$K$1504,'原価明細'!$B$5:$B$1504,$A26,'原価明細'!$D$5:$D$1504,"経費"))</f>
        <v/>
      </c>
      <c r="X26" s="95">
        <f>IF($A26="","",IF(ISNUMBER('案件'!G19),'案件'!G19,""))</f>
        <v/>
      </c>
      <c r="Y26" s="91">
        <f>IF($A26="",0,1)</f>
        <v/>
      </c>
    </row>
    <row r="27" ht="17" customHeight="1">
      <c r="A27" s="53">
        <f>IF('案件'!A20="","",'案件'!A20)</f>
        <v/>
      </c>
      <c r="B27" s="37">
        <f>IF($A27="","",'案件'!B20&amp;"")</f>
        <v/>
      </c>
      <c r="C27" s="53">
        <f>IF($A27="","",'案件'!H20&amp;"")</f>
        <v/>
      </c>
      <c r="D27" s="31">
        <f>IF($A27="","",IF(ISNUMBER('案件'!K20),'案件'!K20,""))</f>
        <v/>
      </c>
      <c r="E27" s="31">
        <f>IF($A27="","",SUM('案件'!L20:O20))</f>
        <v/>
      </c>
      <c r="F27" s="30">
        <f>IF($A27="","",SUM(T27:W27))</f>
        <v/>
      </c>
      <c r="G27" s="49">
        <f>IF($A27="","",F27-E27)</f>
        <v/>
      </c>
      <c r="H27" s="32">
        <f>IF($A27="","",IF(E27&gt;0,F27/E27,"－"))</f>
        <v/>
      </c>
      <c r="I27" s="54">
        <f>IF($A27="","",IF(F27=0,"",IF(E27&lt;=0,"予定なし",IF(F27&gt;E27,"超過",IF(AND(C27&lt;&gt;"完了",C27&lt;&gt;"中止",ISNUMBER('設定'!$B$6),'設定'!$B$6&gt;0,F27/E27&gt;='設定'!$B$6),"注意","予定内")))))</f>
        <v/>
      </c>
      <c r="J27" s="31">
        <f>IF($A27="","",IF(OR(C27="完了",C27="中止"),F27,MAX(T27,N('案件'!L20))+MAX(U27,N('案件'!M20))+MAX(V27,N('案件'!N20))+MAX(W27,N('案件'!O20))))</f>
        <v/>
      </c>
      <c r="K27" s="31">
        <f>IF(OR($A27="",NOT(ISNUMBER(D27))),"",D27-E27)</f>
        <v/>
      </c>
      <c r="L27" s="30">
        <f>IF(OR($A27="",NOT(ISNUMBER(D27))),"",D27-J27)</f>
        <v/>
      </c>
      <c r="M27" s="32">
        <f>IF(K27="","",IF(D27&gt;0,K27/D27,"－"))</f>
        <v/>
      </c>
      <c r="N27" s="55">
        <f>IF(L27="","",IF(D27&gt;0,L27/D27,"－"))</f>
        <v/>
      </c>
      <c r="O27" s="50">
        <f>IF(AND(ISNUMBER(M27),ISNUMBER(N27)),(N27-M27)*100,IF($A27="","","－"))</f>
        <v/>
      </c>
      <c r="P27" s="49">
        <f>IF($A27="","",T27-N('案件'!L20))</f>
        <v/>
      </c>
      <c r="Q27" s="49">
        <f>IF($A27="","",U27-N('案件'!M20))</f>
        <v/>
      </c>
      <c r="R27" s="49">
        <f>IF($A27="","",V27-N('案件'!N20))</f>
        <v/>
      </c>
      <c r="S27" s="49">
        <f>IF($A27="","",W27-N('案件'!O20))</f>
        <v/>
      </c>
      <c r="T27" s="94">
        <f>IF($A27="","",SUMIFS('原価明細'!$K$5:$K$1504,'原価明細'!$B$5:$B$1504,$A27,'原価明細'!$D$5:$D$1504,"材料費"))</f>
        <v/>
      </c>
      <c r="U27" s="94">
        <f>IF($A27="","",SUMIFS('原価明細'!$K$5:$K$1504,'原価明細'!$B$5:$B$1504,$A27,'原価明細'!$D$5:$D$1504,"労務費"))</f>
        <v/>
      </c>
      <c r="V27" s="94">
        <f>IF($A27="","",SUMIFS('原価明細'!$K$5:$K$1504,'原価明細'!$B$5:$B$1504,$A27,'原価明細'!$D$5:$D$1504,"外注費"))</f>
        <v/>
      </c>
      <c r="W27" s="94">
        <f>IF($A27="","",SUMIFS('原価明細'!$K$5:$K$1504,'原価明細'!$B$5:$B$1504,$A27,'原価明細'!$D$5:$D$1504,"経費"))</f>
        <v/>
      </c>
      <c r="X27" s="95">
        <f>IF($A27="","",IF(ISNUMBER('案件'!G20),'案件'!G20,""))</f>
        <v/>
      </c>
      <c r="Y27" s="91">
        <f>IF($A27="",0,1)</f>
        <v/>
      </c>
    </row>
    <row r="28" ht="17" customHeight="1">
      <c r="A28" s="53">
        <f>IF('案件'!A21="","",'案件'!A21)</f>
        <v/>
      </c>
      <c r="B28" s="37">
        <f>IF($A28="","",'案件'!B21&amp;"")</f>
        <v/>
      </c>
      <c r="C28" s="53">
        <f>IF($A28="","",'案件'!H21&amp;"")</f>
        <v/>
      </c>
      <c r="D28" s="31">
        <f>IF($A28="","",IF(ISNUMBER('案件'!K21),'案件'!K21,""))</f>
        <v/>
      </c>
      <c r="E28" s="31">
        <f>IF($A28="","",SUM('案件'!L21:O21))</f>
        <v/>
      </c>
      <c r="F28" s="30">
        <f>IF($A28="","",SUM(T28:W28))</f>
        <v/>
      </c>
      <c r="G28" s="49">
        <f>IF($A28="","",F28-E28)</f>
        <v/>
      </c>
      <c r="H28" s="32">
        <f>IF($A28="","",IF(E28&gt;0,F28/E28,"－"))</f>
        <v/>
      </c>
      <c r="I28" s="54">
        <f>IF($A28="","",IF(F28=0,"",IF(E28&lt;=0,"予定なし",IF(F28&gt;E28,"超過",IF(AND(C28&lt;&gt;"完了",C28&lt;&gt;"中止",ISNUMBER('設定'!$B$6),'設定'!$B$6&gt;0,F28/E28&gt;='設定'!$B$6),"注意","予定内")))))</f>
        <v/>
      </c>
      <c r="J28" s="31">
        <f>IF($A28="","",IF(OR(C28="完了",C28="中止"),F28,MAX(T28,N('案件'!L21))+MAX(U28,N('案件'!M21))+MAX(V28,N('案件'!N21))+MAX(W28,N('案件'!O21))))</f>
        <v/>
      </c>
      <c r="K28" s="31">
        <f>IF(OR($A28="",NOT(ISNUMBER(D28))),"",D28-E28)</f>
        <v/>
      </c>
      <c r="L28" s="30">
        <f>IF(OR($A28="",NOT(ISNUMBER(D28))),"",D28-J28)</f>
        <v/>
      </c>
      <c r="M28" s="32">
        <f>IF(K28="","",IF(D28&gt;0,K28/D28,"－"))</f>
        <v/>
      </c>
      <c r="N28" s="55">
        <f>IF(L28="","",IF(D28&gt;0,L28/D28,"－"))</f>
        <v/>
      </c>
      <c r="O28" s="50">
        <f>IF(AND(ISNUMBER(M28),ISNUMBER(N28)),(N28-M28)*100,IF($A28="","","－"))</f>
        <v/>
      </c>
      <c r="P28" s="49">
        <f>IF($A28="","",T28-N('案件'!L21))</f>
        <v/>
      </c>
      <c r="Q28" s="49">
        <f>IF($A28="","",U28-N('案件'!M21))</f>
        <v/>
      </c>
      <c r="R28" s="49">
        <f>IF($A28="","",V28-N('案件'!N21))</f>
        <v/>
      </c>
      <c r="S28" s="49">
        <f>IF($A28="","",W28-N('案件'!O21))</f>
        <v/>
      </c>
      <c r="T28" s="94">
        <f>IF($A28="","",SUMIFS('原価明細'!$K$5:$K$1504,'原価明細'!$B$5:$B$1504,$A28,'原価明細'!$D$5:$D$1504,"材料費"))</f>
        <v/>
      </c>
      <c r="U28" s="94">
        <f>IF($A28="","",SUMIFS('原価明細'!$K$5:$K$1504,'原価明細'!$B$5:$B$1504,$A28,'原価明細'!$D$5:$D$1504,"労務費"))</f>
        <v/>
      </c>
      <c r="V28" s="94">
        <f>IF($A28="","",SUMIFS('原価明細'!$K$5:$K$1504,'原価明細'!$B$5:$B$1504,$A28,'原価明細'!$D$5:$D$1504,"外注費"))</f>
        <v/>
      </c>
      <c r="W28" s="94">
        <f>IF($A28="","",SUMIFS('原価明細'!$K$5:$K$1504,'原価明細'!$B$5:$B$1504,$A28,'原価明細'!$D$5:$D$1504,"経費"))</f>
        <v/>
      </c>
      <c r="X28" s="95">
        <f>IF($A28="","",IF(ISNUMBER('案件'!G21),'案件'!G21,""))</f>
        <v/>
      </c>
      <c r="Y28" s="91">
        <f>IF($A28="",0,1)</f>
        <v/>
      </c>
    </row>
    <row r="29" ht="17" customHeight="1">
      <c r="A29" s="53">
        <f>IF('案件'!A22="","",'案件'!A22)</f>
        <v/>
      </c>
      <c r="B29" s="37">
        <f>IF($A29="","",'案件'!B22&amp;"")</f>
        <v/>
      </c>
      <c r="C29" s="53">
        <f>IF($A29="","",'案件'!H22&amp;"")</f>
        <v/>
      </c>
      <c r="D29" s="31">
        <f>IF($A29="","",IF(ISNUMBER('案件'!K22),'案件'!K22,""))</f>
        <v/>
      </c>
      <c r="E29" s="31">
        <f>IF($A29="","",SUM('案件'!L22:O22))</f>
        <v/>
      </c>
      <c r="F29" s="30">
        <f>IF($A29="","",SUM(T29:W29))</f>
        <v/>
      </c>
      <c r="G29" s="49">
        <f>IF($A29="","",F29-E29)</f>
        <v/>
      </c>
      <c r="H29" s="32">
        <f>IF($A29="","",IF(E29&gt;0,F29/E29,"－"))</f>
        <v/>
      </c>
      <c r="I29" s="54">
        <f>IF($A29="","",IF(F29=0,"",IF(E29&lt;=0,"予定なし",IF(F29&gt;E29,"超過",IF(AND(C29&lt;&gt;"完了",C29&lt;&gt;"中止",ISNUMBER('設定'!$B$6),'設定'!$B$6&gt;0,F29/E29&gt;='設定'!$B$6),"注意","予定内")))))</f>
        <v/>
      </c>
      <c r="J29" s="31">
        <f>IF($A29="","",IF(OR(C29="完了",C29="中止"),F29,MAX(T29,N('案件'!L22))+MAX(U29,N('案件'!M22))+MAX(V29,N('案件'!N22))+MAX(W29,N('案件'!O22))))</f>
        <v/>
      </c>
      <c r="K29" s="31">
        <f>IF(OR($A29="",NOT(ISNUMBER(D29))),"",D29-E29)</f>
        <v/>
      </c>
      <c r="L29" s="30">
        <f>IF(OR($A29="",NOT(ISNUMBER(D29))),"",D29-J29)</f>
        <v/>
      </c>
      <c r="M29" s="32">
        <f>IF(K29="","",IF(D29&gt;0,K29/D29,"－"))</f>
        <v/>
      </c>
      <c r="N29" s="55">
        <f>IF(L29="","",IF(D29&gt;0,L29/D29,"－"))</f>
        <v/>
      </c>
      <c r="O29" s="50">
        <f>IF(AND(ISNUMBER(M29),ISNUMBER(N29)),(N29-M29)*100,IF($A29="","","－"))</f>
        <v/>
      </c>
      <c r="P29" s="49">
        <f>IF($A29="","",T29-N('案件'!L22))</f>
        <v/>
      </c>
      <c r="Q29" s="49">
        <f>IF($A29="","",U29-N('案件'!M22))</f>
        <v/>
      </c>
      <c r="R29" s="49">
        <f>IF($A29="","",V29-N('案件'!N22))</f>
        <v/>
      </c>
      <c r="S29" s="49">
        <f>IF($A29="","",W29-N('案件'!O22))</f>
        <v/>
      </c>
      <c r="T29" s="94">
        <f>IF($A29="","",SUMIFS('原価明細'!$K$5:$K$1504,'原価明細'!$B$5:$B$1504,$A29,'原価明細'!$D$5:$D$1504,"材料費"))</f>
        <v/>
      </c>
      <c r="U29" s="94">
        <f>IF($A29="","",SUMIFS('原価明細'!$K$5:$K$1504,'原価明細'!$B$5:$B$1504,$A29,'原価明細'!$D$5:$D$1504,"労務費"))</f>
        <v/>
      </c>
      <c r="V29" s="94">
        <f>IF($A29="","",SUMIFS('原価明細'!$K$5:$K$1504,'原価明細'!$B$5:$B$1504,$A29,'原価明細'!$D$5:$D$1504,"外注費"))</f>
        <v/>
      </c>
      <c r="W29" s="94">
        <f>IF($A29="","",SUMIFS('原価明細'!$K$5:$K$1504,'原価明細'!$B$5:$B$1504,$A29,'原価明細'!$D$5:$D$1504,"経費"))</f>
        <v/>
      </c>
      <c r="X29" s="95">
        <f>IF($A29="","",IF(ISNUMBER('案件'!G22),'案件'!G22,""))</f>
        <v/>
      </c>
      <c r="Y29" s="91">
        <f>IF($A29="",0,1)</f>
        <v/>
      </c>
    </row>
    <row r="30" ht="17" customHeight="1">
      <c r="A30" s="53">
        <f>IF('案件'!A23="","",'案件'!A23)</f>
        <v/>
      </c>
      <c r="B30" s="37">
        <f>IF($A30="","",'案件'!B23&amp;"")</f>
        <v/>
      </c>
      <c r="C30" s="53">
        <f>IF($A30="","",'案件'!H23&amp;"")</f>
        <v/>
      </c>
      <c r="D30" s="31">
        <f>IF($A30="","",IF(ISNUMBER('案件'!K23),'案件'!K23,""))</f>
        <v/>
      </c>
      <c r="E30" s="31">
        <f>IF($A30="","",SUM('案件'!L23:O23))</f>
        <v/>
      </c>
      <c r="F30" s="30">
        <f>IF($A30="","",SUM(T30:W30))</f>
        <v/>
      </c>
      <c r="G30" s="49">
        <f>IF($A30="","",F30-E30)</f>
        <v/>
      </c>
      <c r="H30" s="32">
        <f>IF($A30="","",IF(E30&gt;0,F30/E30,"－"))</f>
        <v/>
      </c>
      <c r="I30" s="54">
        <f>IF($A30="","",IF(F30=0,"",IF(E30&lt;=0,"予定なし",IF(F30&gt;E30,"超過",IF(AND(C30&lt;&gt;"完了",C30&lt;&gt;"中止",ISNUMBER('設定'!$B$6),'設定'!$B$6&gt;0,F30/E30&gt;='設定'!$B$6),"注意","予定内")))))</f>
        <v/>
      </c>
      <c r="J30" s="31">
        <f>IF($A30="","",IF(OR(C30="完了",C30="中止"),F30,MAX(T30,N('案件'!L23))+MAX(U30,N('案件'!M23))+MAX(V30,N('案件'!N23))+MAX(W30,N('案件'!O23))))</f>
        <v/>
      </c>
      <c r="K30" s="31">
        <f>IF(OR($A30="",NOT(ISNUMBER(D30))),"",D30-E30)</f>
        <v/>
      </c>
      <c r="L30" s="30">
        <f>IF(OR($A30="",NOT(ISNUMBER(D30))),"",D30-J30)</f>
        <v/>
      </c>
      <c r="M30" s="32">
        <f>IF(K30="","",IF(D30&gt;0,K30/D30,"－"))</f>
        <v/>
      </c>
      <c r="N30" s="55">
        <f>IF(L30="","",IF(D30&gt;0,L30/D30,"－"))</f>
        <v/>
      </c>
      <c r="O30" s="50">
        <f>IF(AND(ISNUMBER(M30),ISNUMBER(N30)),(N30-M30)*100,IF($A30="","","－"))</f>
        <v/>
      </c>
      <c r="P30" s="49">
        <f>IF($A30="","",T30-N('案件'!L23))</f>
        <v/>
      </c>
      <c r="Q30" s="49">
        <f>IF($A30="","",U30-N('案件'!M23))</f>
        <v/>
      </c>
      <c r="R30" s="49">
        <f>IF($A30="","",V30-N('案件'!N23))</f>
        <v/>
      </c>
      <c r="S30" s="49">
        <f>IF($A30="","",W30-N('案件'!O23))</f>
        <v/>
      </c>
      <c r="T30" s="94">
        <f>IF($A30="","",SUMIFS('原価明細'!$K$5:$K$1504,'原価明細'!$B$5:$B$1504,$A30,'原価明細'!$D$5:$D$1504,"材料費"))</f>
        <v/>
      </c>
      <c r="U30" s="94">
        <f>IF($A30="","",SUMIFS('原価明細'!$K$5:$K$1504,'原価明細'!$B$5:$B$1504,$A30,'原価明細'!$D$5:$D$1504,"労務費"))</f>
        <v/>
      </c>
      <c r="V30" s="94">
        <f>IF($A30="","",SUMIFS('原価明細'!$K$5:$K$1504,'原価明細'!$B$5:$B$1504,$A30,'原価明細'!$D$5:$D$1504,"外注費"))</f>
        <v/>
      </c>
      <c r="W30" s="94">
        <f>IF($A30="","",SUMIFS('原価明細'!$K$5:$K$1504,'原価明細'!$B$5:$B$1504,$A30,'原価明細'!$D$5:$D$1504,"経費"))</f>
        <v/>
      </c>
      <c r="X30" s="95">
        <f>IF($A30="","",IF(ISNUMBER('案件'!G23),'案件'!G23,""))</f>
        <v/>
      </c>
      <c r="Y30" s="91">
        <f>IF($A30="",0,1)</f>
        <v/>
      </c>
    </row>
    <row r="31" ht="17" customHeight="1">
      <c r="A31" s="53">
        <f>IF('案件'!A24="","",'案件'!A24)</f>
        <v/>
      </c>
      <c r="B31" s="37">
        <f>IF($A31="","",'案件'!B24&amp;"")</f>
        <v/>
      </c>
      <c r="C31" s="53">
        <f>IF($A31="","",'案件'!H24&amp;"")</f>
        <v/>
      </c>
      <c r="D31" s="31">
        <f>IF($A31="","",IF(ISNUMBER('案件'!K24),'案件'!K24,""))</f>
        <v/>
      </c>
      <c r="E31" s="31">
        <f>IF($A31="","",SUM('案件'!L24:O24))</f>
        <v/>
      </c>
      <c r="F31" s="30">
        <f>IF($A31="","",SUM(T31:W31))</f>
        <v/>
      </c>
      <c r="G31" s="49">
        <f>IF($A31="","",F31-E31)</f>
        <v/>
      </c>
      <c r="H31" s="32">
        <f>IF($A31="","",IF(E31&gt;0,F31/E31,"－"))</f>
        <v/>
      </c>
      <c r="I31" s="54">
        <f>IF($A31="","",IF(F31=0,"",IF(E31&lt;=0,"予定なし",IF(F31&gt;E31,"超過",IF(AND(C31&lt;&gt;"完了",C31&lt;&gt;"中止",ISNUMBER('設定'!$B$6),'設定'!$B$6&gt;0,F31/E31&gt;='設定'!$B$6),"注意","予定内")))))</f>
        <v/>
      </c>
      <c r="J31" s="31">
        <f>IF($A31="","",IF(OR(C31="完了",C31="中止"),F31,MAX(T31,N('案件'!L24))+MAX(U31,N('案件'!M24))+MAX(V31,N('案件'!N24))+MAX(W31,N('案件'!O24))))</f>
        <v/>
      </c>
      <c r="K31" s="31">
        <f>IF(OR($A31="",NOT(ISNUMBER(D31))),"",D31-E31)</f>
        <v/>
      </c>
      <c r="L31" s="30">
        <f>IF(OR($A31="",NOT(ISNUMBER(D31))),"",D31-J31)</f>
        <v/>
      </c>
      <c r="M31" s="32">
        <f>IF(K31="","",IF(D31&gt;0,K31/D31,"－"))</f>
        <v/>
      </c>
      <c r="N31" s="55">
        <f>IF(L31="","",IF(D31&gt;0,L31/D31,"－"))</f>
        <v/>
      </c>
      <c r="O31" s="50">
        <f>IF(AND(ISNUMBER(M31),ISNUMBER(N31)),(N31-M31)*100,IF($A31="","","－"))</f>
        <v/>
      </c>
      <c r="P31" s="49">
        <f>IF($A31="","",T31-N('案件'!L24))</f>
        <v/>
      </c>
      <c r="Q31" s="49">
        <f>IF($A31="","",U31-N('案件'!M24))</f>
        <v/>
      </c>
      <c r="R31" s="49">
        <f>IF($A31="","",V31-N('案件'!N24))</f>
        <v/>
      </c>
      <c r="S31" s="49">
        <f>IF($A31="","",W31-N('案件'!O24))</f>
        <v/>
      </c>
      <c r="T31" s="94">
        <f>IF($A31="","",SUMIFS('原価明細'!$K$5:$K$1504,'原価明細'!$B$5:$B$1504,$A31,'原価明細'!$D$5:$D$1504,"材料費"))</f>
        <v/>
      </c>
      <c r="U31" s="94">
        <f>IF($A31="","",SUMIFS('原価明細'!$K$5:$K$1504,'原価明細'!$B$5:$B$1504,$A31,'原価明細'!$D$5:$D$1504,"労務費"))</f>
        <v/>
      </c>
      <c r="V31" s="94">
        <f>IF($A31="","",SUMIFS('原価明細'!$K$5:$K$1504,'原価明細'!$B$5:$B$1504,$A31,'原価明細'!$D$5:$D$1504,"外注費"))</f>
        <v/>
      </c>
      <c r="W31" s="94">
        <f>IF($A31="","",SUMIFS('原価明細'!$K$5:$K$1504,'原価明細'!$B$5:$B$1504,$A31,'原価明細'!$D$5:$D$1504,"経費"))</f>
        <v/>
      </c>
      <c r="X31" s="95">
        <f>IF($A31="","",IF(ISNUMBER('案件'!G24),'案件'!G24,""))</f>
        <v/>
      </c>
      <c r="Y31" s="91">
        <f>IF($A31="",0,1)</f>
        <v/>
      </c>
    </row>
    <row r="32" ht="17" customHeight="1">
      <c r="A32" s="53">
        <f>IF('案件'!A25="","",'案件'!A25)</f>
        <v/>
      </c>
      <c r="B32" s="37">
        <f>IF($A32="","",'案件'!B25&amp;"")</f>
        <v/>
      </c>
      <c r="C32" s="53">
        <f>IF($A32="","",'案件'!H25&amp;"")</f>
        <v/>
      </c>
      <c r="D32" s="31">
        <f>IF($A32="","",IF(ISNUMBER('案件'!K25),'案件'!K25,""))</f>
        <v/>
      </c>
      <c r="E32" s="31">
        <f>IF($A32="","",SUM('案件'!L25:O25))</f>
        <v/>
      </c>
      <c r="F32" s="30">
        <f>IF($A32="","",SUM(T32:W32))</f>
        <v/>
      </c>
      <c r="G32" s="49">
        <f>IF($A32="","",F32-E32)</f>
        <v/>
      </c>
      <c r="H32" s="32">
        <f>IF($A32="","",IF(E32&gt;0,F32/E32,"－"))</f>
        <v/>
      </c>
      <c r="I32" s="54">
        <f>IF($A32="","",IF(F32=0,"",IF(E32&lt;=0,"予定なし",IF(F32&gt;E32,"超過",IF(AND(C32&lt;&gt;"完了",C32&lt;&gt;"中止",ISNUMBER('設定'!$B$6),'設定'!$B$6&gt;0,F32/E32&gt;='設定'!$B$6),"注意","予定内")))))</f>
        <v/>
      </c>
      <c r="J32" s="31">
        <f>IF($A32="","",IF(OR(C32="完了",C32="中止"),F32,MAX(T32,N('案件'!L25))+MAX(U32,N('案件'!M25))+MAX(V32,N('案件'!N25))+MAX(W32,N('案件'!O25))))</f>
        <v/>
      </c>
      <c r="K32" s="31">
        <f>IF(OR($A32="",NOT(ISNUMBER(D32))),"",D32-E32)</f>
        <v/>
      </c>
      <c r="L32" s="30">
        <f>IF(OR($A32="",NOT(ISNUMBER(D32))),"",D32-J32)</f>
        <v/>
      </c>
      <c r="M32" s="32">
        <f>IF(K32="","",IF(D32&gt;0,K32/D32,"－"))</f>
        <v/>
      </c>
      <c r="N32" s="55">
        <f>IF(L32="","",IF(D32&gt;0,L32/D32,"－"))</f>
        <v/>
      </c>
      <c r="O32" s="50">
        <f>IF(AND(ISNUMBER(M32),ISNUMBER(N32)),(N32-M32)*100,IF($A32="","","－"))</f>
        <v/>
      </c>
      <c r="P32" s="49">
        <f>IF($A32="","",T32-N('案件'!L25))</f>
        <v/>
      </c>
      <c r="Q32" s="49">
        <f>IF($A32="","",U32-N('案件'!M25))</f>
        <v/>
      </c>
      <c r="R32" s="49">
        <f>IF($A32="","",V32-N('案件'!N25))</f>
        <v/>
      </c>
      <c r="S32" s="49">
        <f>IF($A32="","",W32-N('案件'!O25))</f>
        <v/>
      </c>
      <c r="T32" s="94">
        <f>IF($A32="","",SUMIFS('原価明細'!$K$5:$K$1504,'原価明細'!$B$5:$B$1504,$A32,'原価明細'!$D$5:$D$1504,"材料費"))</f>
        <v/>
      </c>
      <c r="U32" s="94">
        <f>IF($A32="","",SUMIFS('原価明細'!$K$5:$K$1504,'原価明細'!$B$5:$B$1504,$A32,'原価明細'!$D$5:$D$1504,"労務費"))</f>
        <v/>
      </c>
      <c r="V32" s="94">
        <f>IF($A32="","",SUMIFS('原価明細'!$K$5:$K$1504,'原価明細'!$B$5:$B$1504,$A32,'原価明細'!$D$5:$D$1504,"外注費"))</f>
        <v/>
      </c>
      <c r="W32" s="94">
        <f>IF($A32="","",SUMIFS('原価明細'!$K$5:$K$1504,'原価明細'!$B$5:$B$1504,$A32,'原価明細'!$D$5:$D$1504,"経費"))</f>
        <v/>
      </c>
      <c r="X32" s="95">
        <f>IF($A32="","",IF(ISNUMBER('案件'!G25),'案件'!G25,""))</f>
        <v/>
      </c>
      <c r="Y32" s="91">
        <f>IF($A32="",0,1)</f>
        <v/>
      </c>
    </row>
    <row r="33" ht="17" customHeight="1">
      <c r="A33" s="53">
        <f>IF('案件'!A26="","",'案件'!A26)</f>
        <v/>
      </c>
      <c r="B33" s="37">
        <f>IF($A33="","",'案件'!B26&amp;"")</f>
        <v/>
      </c>
      <c r="C33" s="53">
        <f>IF($A33="","",'案件'!H26&amp;"")</f>
        <v/>
      </c>
      <c r="D33" s="31">
        <f>IF($A33="","",IF(ISNUMBER('案件'!K26),'案件'!K26,""))</f>
        <v/>
      </c>
      <c r="E33" s="31">
        <f>IF($A33="","",SUM('案件'!L26:O26))</f>
        <v/>
      </c>
      <c r="F33" s="30">
        <f>IF($A33="","",SUM(T33:W33))</f>
        <v/>
      </c>
      <c r="G33" s="49">
        <f>IF($A33="","",F33-E33)</f>
        <v/>
      </c>
      <c r="H33" s="32">
        <f>IF($A33="","",IF(E33&gt;0,F33/E33,"－"))</f>
        <v/>
      </c>
      <c r="I33" s="54">
        <f>IF($A33="","",IF(F33=0,"",IF(E33&lt;=0,"予定なし",IF(F33&gt;E33,"超過",IF(AND(C33&lt;&gt;"完了",C33&lt;&gt;"中止",ISNUMBER('設定'!$B$6),'設定'!$B$6&gt;0,F33/E33&gt;='設定'!$B$6),"注意","予定内")))))</f>
        <v/>
      </c>
      <c r="J33" s="31">
        <f>IF($A33="","",IF(OR(C33="完了",C33="中止"),F33,MAX(T33,N('案件'!L26))+MAX(U33,N('案件'!M26))+MAX(V33,N('案件'!N26))+MAX(W33,N('案件'!O26))))</f>
        <v/>
      </c>
      <c r="K33" s="31">
        <f>IF(OR($A33="",NOT(ISNUMBER(D33))),"",D33-E33)</f>
        <v/>
      </c>
      <c r="L33" s="30">
        <f>IF(OR($A33="",NOT(ISNUMBER(D33))),"",D33-J33)</f>
        <v/>
      </c>
      <c r="M33" s="32">
        <f>IF(K33="","",IF(D33&gt;0,K33/D33,"－"))</f>
        <v/>
      </c>
      <c r="N33" s="55">
        <f>IF(L33="","",IF(D33&gt;0,L33/D33,"－"))</f>
        <v/>
      </c>
      <c r="O33" s="50">
        <f>IF(AND(ISNUMBER(M33),ISNUMBER(N33)),(N33-M33)*100,IF($A33="","","－"))</f>
        <v/>
      </c>
      <c r="P33" s="49">
        <f>IF($A33="","",T33-N('案件'!L26))</f>
        <v/>
      </c>
      <c r="Q33" s="49">
        <f>IF($A33="","",U33-N('案件'!M26))</f>
        <v/>
      </c>
      <c r="R33" s="49">
        <f>IF($A33="","",V33-N('案件'!N26))</f>
        <v/>
      </c>
      <c r="S33" s="49">
        <f>IF($A33="","",W33-N('案件'!O26))</f>
        <v/>
      </c>
      <c r="T33" s="94">
        <f>IF($A33="","",SUMIFS('原価明細'!$K$5:$K$1504,'原価明細'!$B$5:$B$1504,$A33,'原価明細'!$D$5:$D$1504,"材料費"))</f>
        <v/>
      </c>
      <c r="U33" s="94">
        <f>IF($A33="","",SUMIFS('原価明細'!$K$5:$K$1504,'原価明細'!$B$5:$B$1504,$A33,'原価明細'!$D$5:$D$1504,"労務費"))</f>
        <v/>
      </c>
      <c r="V33" s="94">
        <f>IF($A33="","",SUMIFS('原価明細'!$K$5:$K$1504,'原価明細'!$B$5:$B$1504,$A33,'原価明細'!$D$5:$D$1504,"外注費"))</f>
        <v/>
      </c>
      <c r="W33" s="94">
        <f>IF($A33="","",SUMIFS('原価明細'!$K$5:$K$1504,'原価明細'!$B$5:$B$1504,$A33,'原価明細'!$D$5:$D$1504,"経費"))</f>
        <v/>
      </c>
      <c r="X33" s="95">
        <f>IF($A33="","",IF(ISNUMBER('案件'!G26),'案件'!G26,""))</f>
        <v/>
      </c>
      <c r="Y33" s="91">
        <f>IF($A33="",0,1)</f>
        <v/>
      </c>
    </row>
    <row r="34" ht="17" customHeight="1">
      <c r="A34" s="53">
        <f>IF('案件'!A27="","",'案件'!A27)</f>
        <v/>
      </c>
      <c r="B34" s="37">
        <f>IF($A34="","",'案件'!B27&amp;"")</f>
        <v/>
      </c>
      <c r="C34" s="53">
        <f>IF($A34="","",'案件'!H27&amp;"")</f>
        <v/>
      </c>
      <c r="D34" s="31">
        <f>IF($A34="","",IF(ISNUMBER('案件'!K27),'案件'!K27,""))</f>
        <v/>
      </c>
      <c r="E34" s="31">
        <f>IF($A34="","",SUM('案件'!L27:O27))</f>
        <v/>
      </c>
      <c r="F34" s="30">
        <f>IF($A34="","",SUM(T34:W34))</f>
        <v/>
      </c>
      <c r="G34" s="49">
        <f>IF($A34="","",F34-E34)</f>
        <v/>
      </c>
      <c r="H34" s="32">
        <f>IF($A34="","",IF(E34&gt;0,F34/E34,"－"))</f>
        <v/>
      </c>
      <c r="I34" s="54">
        <f>IF($A34="","",IF(F34=0,"",IF(E34&lt;=0,"予定なし",IF(F34&gt;E34,"超過",IF(AND(C34&lt;&gt;"完了",C34&lt;&gt;"中止",ISNUMBER('設定'!$B$6),'設定'!$B$6&gt;0,F34/E34&gt;='設定'!$B$6),"注意","予定内")))))</f>
        <v/>
      </c>
      <c r="J34" s="31">
        <f>IF($A34="","",IF(OR(C34="完了",C34="中止"),F34,MAX(T34,N('案件'!L27))+MAX(U34,N('案件'!M27))+MAX(V34,N('案件'!N27))+MAX(W34,N('案件'!O27))))</f>
        <v/>
      </c>
      <c r="K34" s="31">
        <f>IF(OR($A34="",NOT(ISNUMBER(D34))),"",D34-E34)</f>
        <v/>
      </c>
      <c r="L34" s="30">
        <f>IF(OR($A34="",NOT(ISNUMBER(D34))),"",D34-J34)</f>
        <v/>
      </c>
      <c r="M34" s="32">
        <f>IF(K34="","",IF(D34&gt;0,K34/D34,"－"))</f>
        <v/>
      </c>
      <c r="N34" s="55">
        <f>IF(L34="","",IF(D34&gt;0,L34/D34,"－"))</f>
        <v/>
      </c>
      <c r="O34" s="50">
        <f>IF(AND(ISNUMBER(M34),ISNUMBER(N34)),(N34-M34)*100,IF($A34="","","－"))</f>
        <v/>
      </c>
      <c r="P34" s="49">
        <f>IF($A34="","",T34-N('案件'!L27))</f>
        <v/>
      </c>
      <c r="Q34" s="49">
        <f>IF($A34="","",U34-N('案件'!M27))</f>
        <v/>
      </c>
      <c r="R34" s="49">
        <f>IF($A34="","",V34-N('案件'!N27))</f>
        <v/>
      </c>
      <c r="S34" s="49">
        <f>IF($A34="","",W34-N('案件'!O27))</f>
        <v/>
      </c>
      <c r="T34" s="94">
        <f>IF($A34="","",SUMIFS('原価明細'!$K$5:$K$1504,'原価明細'!$B$5:$B$1504,$A34,'原価明細'!$D$5:$D$1504,"材料費"))</f>
        <v/>
      </c>
      <c r="U34" s="94">
        <f>IF($A34="","",SUMIFS('原価明細'!$K$5:$K$1504,'原価明細'!$B$5:$B$1504,$A34,'原価明細'!$D$5:$D$1504,"労務費"))</f>
        <v/>
      </c>
      <c r="V34" s="94">
        <f>IF($A34="","",SUMIFS('原価明細'!$K$5:$K$1504,'原価明細'!$B$5:$B$1504,$A34,'原価明細'!$D$5:$D$1504,"外注費"))</f>
        <v/>
      </c>
      <c r="W34" s="94">
        <f>IF($A34="","",SUMIFS('原価明細'!$K$5:$K$1504,'原価明細'!$B$5:$B$1504,$A34,'原価明細'!$D$5:$D$1504,"経費"))</f>
        <v/>
      </c>
      <c r="X34" s="95">
        <f>IF($A34="","",IF(ISNUMBER('案件'!G27),'案件'!G27,""))</f>
        <v/>
      </c>
      <c r="Y34" s="91">
        <f>IF($A34="",0,1)</f>
        <v/>
      </c>
    </row>
    <row r="35" ht="17" customHeight="1">
      <c r="A35" s="53">
        <f>IF('案件'!A28="","",'案件'!A28)</f>
        <v/>
      </c>
      <c r="B35" s="37">
        <f>IF($A35="","",'案件'!B28&amp;"")</f>
        <v/>
      </c>
      <c r="C35" s="53">
        <f>IF($A35="","",'案件'!H28&amp;"")</f>
        <v/>
      </c>
      <c r="D35" s="31">
        <f>IF($A35="","",IF(ISNUMBER('案件'!K28),'案件'!K28,""))</f>
        <v/>
      </c>
      <c r="E35" s="31">
        <f>IF($A35="","",SUM('案件'!L28:O28))</f>
        <v/>
      </c>
      <c r="F35" s="30">
        <f>IF($A35="","",SUM(T35:W35))</f>
        <v/>
      </c>
      <c r="G35" s="49">
        <f>IF($A35="","",F35-E35)</f>
        <v/>
      </c>
      <c r="H35" s="32">
        <f>IF($A35="","",IF(E35&gt;0,F35/E35,"－"))</f>
        <v/>
      </c>
      <c r="I35" s="54">
        <f>IF($A35="","",IF(F35=0,"",IF(E35&lt;=0,"予定なし",IF(F35&gt;E35,"超過",IF(AND(C35&lt;&gt;"完了",C35&lt;&gt;"中止",ISNUMBER('設定'!$B$6),'設定'!$B$6&gt;0,F35/E35&gt;='設定'!$B$6),"注意","予定内")))))</f>
        <v/>
      </c>
      <c r="J35" s="31">
        <f>IF($A35="","",IF(OR(C35="完了",C35="中止"),F35,MAX(T35,N('案件'!L28))+MAX(U35,N('案件'!M28))+MAX(V35,N('案件'!N28))+MAX(W35,N('案件'!O28))))</f>
        <v/>
      </c>
      <c r="K35" s="31">
        <f>IF(OR($A35="",NOT(ISNUMBER(D35))),"",D35-E35)</f>
        <v/>
      </c>
      <c r="L35" s="30">
        <f>IF(OR($A35="",NOT(ISNUMBER(D35))),"",D35-J35)</f>
        <v/>
      </c>
      <c r="M35" s="32">
        <f>IF(K35="","",IF(D35&gt;0,K35/D35,"－"))</f>
        <v/>
      </c>
      <c r="N35" s="55">
        <f>IF(L35="","",IF(D35&gt;0,L35/D35,"－"))</f>
        <v/>
      </c>
      <c r="O35" s="50">
        <f>IF(AND(ISNUMBER(M35),ISNUMBER(N35)),(N35-M35)*100,IF($A35="","","－"))</f>
        <v/>
      </c>
      <c r="P35" s="49">
        <f>IF($A35="","",T35-N('案件'!L28))</f>
        <v/>
      </c>
      <c r="Q35" s="49">
        <f>IF($A35="","",U35-N('案件'!M28))</f>
        <v/>
      </c>
      <c r="R35" s="49">
        <f>IF($A35="","",V35-N('案件'!N28))</f>
        <v/>
      </c>
      <c r="S35" s="49">
        <f>IF($A35="","",W35-N('案件'!O28))</f>
        <v/>
      </c>
      <c r="T35" s="94">
        <f>IF($A35="","",SUMIFS('原価明細'!$K$5:$K$1504,'原価明細'!$B$5:$B$1504,$A35,'原価明細'!$D$5:$D$1504,"材料費"))</f>
        <v/>
      </c>
      <c r="U35" s="94">
        <f>IF($A35="","",SUMIFS('原価明細'!$K$5:$K$1504,'原価明細'!$B$5:$B$1504,$A35,'原価明細'!$D$5:$D$1504,"労務費"))</f>
        <v/>
      </c>
      <c r="V35" s="94">
        <f>IF($A35="","",SUMIFS('原価明細'!$K$5:$K$1504,'原価明細'!$B$5:$B$1504,$A35,'原価明細'!$D$5:$D$1504,"外注費"))</f>
        <v/>
      </c>
      <c r="W35" s="94">
        <f>IF($A35="","",SUMIFS('原価明細'!$K$5:$K$1504,'原価明細'!$B$5:$B$1504,$A35,'原価明細'!$D$5:$D$1504,"経費"))</f>
        <v/>
      </c>
      <c r="X35" s="95">
        <f>IF($A35="","",IF(ISNUMBER('案件'!G28),'案件'!G28,""))</f>
        <v/>
      </c>
      <c r="Y35" s="91">
        <f>IF($A35="",0,1)</f>
        <v/>
      </c>
    </row>
    <row r="36" ht="17" customHeight="1">
      <c r="A36" s="53">
        <f>IF('案件'!A29="","",'案件'!A29)</f>
        <v/>
      </c>
      <c r="B36" s="37">
        <f>IF($A36="","",'案件'!B29&amp;"")</f>
        <v/>
      </c>
      <c r="C36" s="53">
        <f>IF($A36="","",'案件'!H29&amp;"")</f>
        <v/>
      </c>
      <c r="D36" s="31">
        <f>IF($A36="","",IF(ISNUMBER('案件'!K29),'案件'!K29,""))</f>
        <v/>
      </c>
      <c r="E36" s="31">
        <f>IF($A36="","",SUM('案件'!L29:O29))</f>
        <v/>
      </c>
      <c r="F36" s="30">
        <f>IF($A36="","",SUM(T36:W36))</f>
        <v/>
      </c>
      <c r="G36" s="49">
        <f>IF($A36="","",F36-E36)</f>
        <v/>
      </c>
      <c r="H36" s="32">
        <f>IF($A36="","",IF(E36&gt;0,F36/E36,"－"))</f>
        <v/>
      </c>
      <c r="I36" s="54">
        <f>IF($A36="","",IF(F36=0,"",IF(E36&lt;=0,"予定なし",IF(F36&gt;E36,"超過",IF(AND(C36&lt;&gt;"完了",C36&lt;&gt;"中止",ISNUMBER('設定'!$B$6),'設定'!$B$6&gt;0,F36/E36&gt;='設定'!$B$6),"注意","予定内")))))</f>
        <v/>
      </c>
      <c r="J36" s="31">
        <f>IF($A36="","",IF(OR(C36="完了",C36="中止"),F36,MAX(T36,N('案件'!L29))+MAX(U36,N('案件'!M29))+MAX(V36,N('案件'!N29))+MAX(W36,N('案件'!O29))))</f>
        <v/>
      </c>
      <c r="K36" s="31">
        <f>IF(OR($A36="",NOT(ISNUMBER(D36))),"",D36-E36)</f>
        <v/>
      </c>
      <c r="L36" s="30">
        <f>IF(OR($A36="",NOT(ISNUMBER(D36))),"",D36-J36)</f>
        <v/>
      </c>
      <c r="M36" s="32">
        <f>IF(K36="","",IF(D36&gt;0,K36/D36,"－"))</f>
        <v/>
      </c>
      <c r="N36" s="55">
        <f>IF(L36="","",IF(D36&gt;0,L36/D36,"－"))</f>
        <v/>
      </c>
      <c r="O36" s="50">
        <f>IF(AND(ISNUMBER(M36),ISNUMBER(N36)),(N36-M36)*100,IF($A36="","","－"))</f>
        <v/>
      </c>
      <c r="P36" s="49">
        <f>IF($A36="","",T36-N('案件'!L29))</f>
        <v/>
      </c>
      <c r="Q36" s="49">
        <f>IF($A36="","",U36-N('案件'!M29))</f>
        <v/>
      </c>
      <c r="R36" s="49">
        <f>IF($A36="","",V36-N('案件'!N29))</f>
        <v/>
      </c>
      <c r="S36" s="49">
        <f>IF($A36="","",W36-N('案件'!O29))</f>
        <v/>
      </c>
      <c r="T36" s="94">
        <f>IF($A36="","",SUMIFS('原価明細'!$K$5:$K$1504,'原価明細'!$B$5:$B$1504,$A36,'原価明細'!$D$5:$D$1504,"材料費"))</f>
        <v/>
      </c>
      <c r="U36" s="94">
        <f>IF($A36="","",SUMIFS('原価明細'!$K$5:$K$1504,'原価明細'!$B$5:$B$1504,$A36,'原価明細'!$D$5:$D$1504,"労務費"))</f>
        <v/>
      </c>
      <c r="V36" s="94">
        <f>IF($A36="","",SUMIFS('原価明細'!$K$5:$K$1504,'原価明細'!$B$5:$B$1504,$A36,'原価明細'!$D$5:$D$1504,"外注費"))</f>
        <v/>
      </c>
      <c r="W36" s="94">
        <f>IF($A36="","",SUMIFS('原価明細'!$K$5:$K$1504,'原価明細'!$B$5:$B$1504,$A36,'原価明細'!$D$5:$D$1504,"経費"))</f>
        <v/>
      </c>
      <c r="X36" s="95">
        <f>IF($A36="","",IF(ISNUMBER('案件'!G29),'案件'!G29,""))</f>
        <v/>
      </c>
      <c r="Y36" s="91">
        <f>IF($A36="",0,1)</f>
        <v/>
      </c>
    </row>
    <row r="37" ht="17" customHeight="1">
      <c r="A37" s="53">
        <f>IF('案件'!A30="","",'案件'!A30)</f>
        <v/>
      </c>
      <c r="B37" s="37">
        <f>IF($A37="","",'案件'!B30&amp;"")</f>
        <v/>
      </c>
      <c r="C37" s="53">
        <f>IF($A37="","",'案件'!H30&amp;"")</f>
        <v/>
      </c>
      <c r="D37" s="31">
        <f>IF($A37="","",IF(ISNUMBER('案件'!K30),'案件'!K30,""))</f>
        <v/>
      </c>
      <c r="E37" s="31">
        <f>IF($A37="","",SUM('案件'!L30:O30))</f>
        <v/>
      </c>
      <c r="F37" s="30">
        <f>IF($A37="","",SUM(T37:W37))</f>
        <v/>
      </c>
      <c r="G37" s="49">
        <f>IF($A37="","",F37-E37)</f>
        <v/>
      </c>
      <c r="H37" s="32">
        <f>IF($A37="","",IF(E37&gt;0,F37/E37,"－"))</f>
        <v/>
      </c>
      <c r="I37" s="54">
        <f>IF($A37="","",IF(F37=0,"",IF(E37&lt;=0,"予定なし",IF(F37&gt;E37,"超過",IF(AND(C37&lt;&gt;"完了",C37&lt;&gt;"中止",ISNUMBER('設定'!$B$6),'設定'!$B$6&gt;0,F37/E37&gt;='設定'!$B$6),"注意","予定内")))))</f>
        <v/>
      </c>
      <c r="J37" s="31">
        <f>IF($A37="","",IF(OR(C37="完了",C37="中止"),F37,MAX(T37,N('案件'!L30))+MAX(U37,N('案件'!M30))+MAX(V37,N('案件'!N30))+MAX(W37,N('案件'!O30))))</f>
        <v/>
      </c>
      <c r="K37" s="31">
        <f>IF(OR($A37="",NOT(ISNUMBER(D37))),"",D37-E37)</f>
        <v/>
      </c>
      <c r="L37" s="30">
        <f>IF(OR($A37="",NOT(ISNUMBER(D37))),"",D37-J37)</f>
        <v/>
      </c>
      <c r="M37" s="32">
        <f>IF(K37="","",IF(D37&gt;0,K37/D37,"－"))</f>
        <v/>
      </c>
      <c r="N37" s="55">
        <f>IF(L37="","",IF(D37&gt;0,L37/D37,"－"))</f>
        <v/>
      </c>
      <c r="O37" s="50">
        <f>IF(AND(ISNUMBER(M37),ISNUMBER(N37)),(N37-M37)*100,IF($A37="","","－"))</f>
        <v/>
      </c>
      <c r="P37" s="49">
        <f>IF($A37="","",T37-N('案件'!L30))</f>
        <v/>
      </c>
      <c r="Q37" s="49">
        <f>IF($A37="","",U37-N('案件'!M30))</f>
        <v/>
      </c>
      <c r="R37" s="49">
        <f>IF($A37="","",V37-N('案件'!N30))</f>
        <v/>
      </c>
      <c r="S37" s="49">
        <f>IF($A37="","",W37-N('案件'!O30))</f>
        <v/>
      </c>
      <c r="T37" s="94">
        <f>IF($A37="","",SUMIFS('原価明細'!$K$5:$K$1504,'原価明細'!$B$5:$B$1504,$A37,'原価明細'!$D$5:$D$1504,"材料費"))</f>
        <v/>
      </c>
      <c r="U37" s="94">
        <f>IF($A37="","",SUMIFS('原価明細'!$K$5:$K$1504,'原価明細'!$B$5:$B$1504,$A37,'原価明細'!$D$5:$D$1504,"労務費"))</f>
        <v/>
      </c>
      <c r="V37" s="94">
        <f>IF($A37="","",SUMIFS('原価明細'!$K$5:$K$1504,'原価明細'!$B$5:$B$1504,$A37,'原価明細'!$D$5:$D$1504,"外注費"))</f>
        <v/>
      </c>
      <c r="W37" s="94">
        <f>IF($A37="","",SUMIFS('原価明細'!$K$5:$K$1504,'原価明細'!$B$5:$B$1504,$A37,'原価明細'!$D$5:$D$1504,"経費"))</f>
        <v/>
      </c>
      <c r="X37" s="95">
        <f>IF($A37="","",IF(ISNUMBER('案件'!G30),'案件'!G30,""))</f>
        <v/>
      </c>
      <c r="Y37" s="91">
        <f>IF($A37="",0,1)</f>
        <v/>
      </c>
    </row>
    <row r="38" ht="17" customHeight="1">
      <c r="A38" s="53">
        <f>IF('案件'!A31="","",'案件'!A31)</f>
        <v/>
      </c>
      <c r="B38" s="37">
        <f>IF($A38="","",'案件'!B31&amp;"")</f>
        <v/>
      </c>
      <c r="C38" s="53">
        <f>IF($A38="","",'案件'!H31&amp;"")</f>
        <v/>
      </c>
      <c r="D38" s="31">
        <f>IF($A38="","",IF(ISNUMBER('案件'!K31),'案件'!K31,""))</f>
        <v/>
      </c>
      <c r="E38" s="31">
        <f>IF($A38="","",SUM('案件'!L31:O31))</f>
        <v/>
      </c>
      <c r="F38" s="30">
        <f>IF($A38="","",SUM(T38:W38))</f>
        <v/>
      </c>
      <c r="G38" s="49">
        <f>IF($A38="","",F38-E38)</f>
        <v/>
      </c>
      <c r="H38" s="32">
        <f>IF($A38="","",IF(E38&gt;0,F38/E38,"－"))</f>
        <v/>
      </c>
      <c r="I38" s="54">
        <f>IF($A38="","",IF(F38=0,"",IF(E38&lt;=0,"予定なし",IF(F38&gt;E38,"超過",IF(AND(C38&lt;&gt;"完了",C38&lt;&gt;"中止",ISNUMBER('設定'!$B$6),'設定'!$B$6&gt;0,F38/E38&gt;='設定'!$B$6),"注意","予定内")))))</f>
        <v/>
      </c>
      <c r="J38" s="31">
        <f>IF($A38="","",IF(OR(C38="完了",C38="中止"),F38,MAX(T38,N('案件'!L31))+MAX(U38,N('案件'!M31))+MAX(V38,N('案件'!N31))+MAX(W38,N('案件'!O31))))</f>
        <v/>
      </c>
      <c r="K38" s="31">
        <f>IF(OR($A38="",NOT(ISNUMBER(D38))),"",D38-E38)</f>
        <v/>
      </c>
      <c r="L38" s="30">
        <f>IF(OR($A38="",NOT(ISNUMBER(D38))),"",D38-J38)</f>
        <v/>
      </c>
      <c r="M38" s="32">
        <f>IF(K38="","",IF(D38&gt;0,K38/D38,"－"))</f>
        <v/>
      </c>
      <c r="N38" s="55">
        <f>IF(L38="","",IF(D38&gt;0,L38/D38,"－"))</f>
        <v/>
      </c>
      <c r="O38" s="50">
        <f>IF(AND(ISNUMBER(M38),ISNUMBER(N38)),(N38-M38)*100,IF($A38="","","－"))</f>
        <v/>
      </c>
      <c r="P38" s="49">
        <f>IF($A38="","",T38-N('案件'!L31))</f>
        <v/>
      </c>
      <c r="Q38" s="49">
        <f>IF($A38="","",U38-N('案件'!M31))</f>
        <v/>
      </c>
      <c r="R38" s="49">
        <f>IF($A38="","",V38-N('案件'!N31))</f>
        <v/>
      </c>
      <c r="S38" s="49">
        <f>IF($A38="","",W38-N('案件'!O31))</f>
        <v/>
      </c>
      <c r="T38" s="94">
        <f>IF($A38="","",SUMIFS('原価明細'!$K$5:$K$1504,'原価明細'!$B$5:$B$1504,$A38,'原価明細'!$D$5:$D$1504,"材料費"))</f>
        <v/>
      </c>
      <c r="U38" s="94">
        <f>IF($A38="","",SUMIFS('原価明細'!$K$5:$K$1504,'原価明細'!$B$5:$B$1504,$A38,'原価明細'!$D$5:$D$1504,"労務費"))</f>
        <v/>
      </c>
      <c r="V38" s="94">
        <f>IF($A38="","",SUMIFS('原価明細'!$K$5:$K$1504,'原価明細'!$B$5:$B$1504,$A38,'原価明細'!$D$5:$D$1504,"外注費"))</f>
        <v/>
      </c>
      <c r="W38" s="94">
        <f>IF($A38="","",SUMIFS('原価明細'!$K$5:$K$1504,'原価明細'!$B$5:$B$1504,$A38,'原価明細'!$D$5:$D$1504,"経費"))</f>
        <v/>
      </c>
      <c r="X38" s="95">
        <f>IF($A38="","",IF(ISNUMBER('案件'!G31),'案件'!G31,""))</f>
        <v/>
      </c>
      <c r="Y38" s="91">
        <f>IF($A38="",0,1)</f>
        <v/>
      </c>
    </row>
    <row r="39" ht="17" customHeight="1">
      <c r="A39" s="53">
        <f>IF('案件'!A32="","",'案件'!A32)</f>
        <v/>
      </c>
      <c r="B39" s="37">
        <f>IF($A39="","",'案件'!B32&amp;"")</f>
        <v/>
      </c>
      <c r="C39" s="53">
        <f>IF($A39="","",'案件'!H32&amp;"")</f>
        <v/>
      </c>
      <c r="D39" s="31">
        <f>IF($A39="","",IF(ISNUMBER('案件'!K32),'案件'!K32,""))</f>
        <v/>
      </c>
      <c r="E39" s="31">
        <f>IF($A39="","",SUM('案件'!L32:O32))</f>
        <v/>
      </c>
      <c r="F39" s="30">
        <f>IF($A39="","",SUM(T39:W39))</f>
        <v/>
      </c>
      <c r="G39" s="49">
        <f>IF($A39="","",F39-E39)</f>
        <v/>
      </c>
      <c r="H39" s="32">
        <f>IF($A39="","",IF(E39&gt;0,F39/E39,"－"))</f>
        <v/>
      </c>
      <c r="I39" s="54">
        <f>IF($A39="","",IF(F39=0,"",IF(E39&lt;=0,"予定なし",IF(F39&gt;E39,"超過",IF(AND(C39&lt;&gt;"完了",C39&lt;&gt;"中止",ISNUMBER('設定'!$B$6),'設定'!$B$6&gt;0,F39/E39&gt;='設定'!$B$6),"注意","予定内")))))</f>
        <v/>
      </c>
      <c r="J39" s="31">
        <f>IF($A39="","",IF(OR(C39="完了",C39="中止"),F39,MAX(T39,N('案件'!L32))+MAX(U39,N('案件'!M32))+MAX(V39,N('案件'!N32))+MAX(W39,N('案件'!O32))))</f>
        <v/>
      </c>
      <c r="K39" s="31">
        <f>IF(OR($A39="",NOT(ISNUMBER(D39))),"",D39-E39)</f>
        <v/>
      </c>
      <c r="L39" s="30">
        <f>IF(OR($A39="",NOT(ISNUMBER(D39))),"",D39-J39)</f>
        <v/>
      </c>
      <c r="M39" s="32">
        <f>IF(K39="","",IF(D39&gt;0,K39/D39,"－"))</f>
        <v/>
      </c>
      <c r="N39" s="55">
        <f>IF(L39="","",IF(D39&gt;0,L39/D39,"－"))</f>
        <v/>
      </c>
      <c r="O39" s="50">
        <f>IF(AND(ISNUMBER(M39),ISNUMBER(N39)),(N39-M39)*100,IF($A39="","","－"))</f>
        <v/>
      </c>
      <c r="P39" s="49">
        <f>IF($A39="","",T39-N('案件'!L32))</f>
        <v/>
      </c>
      <c r="Q39" s="49">
        <f>IF($A39="","",U39-N('案件'!M32))</f>
        <v/>
      </c>
      <c r="R39" s="49">
        <f>IF($A39="","",V39-N('案件'!N32))</f>
        <v/>
      </c>
      <c r="S39" s="49">
        <f>IF($A39="","",W39-N('案件'!O32))</f>
        <v/>
      </c>
      <c r="T39" s="94">
        <f>IF($A39="","",SUMIFS('原価明細'!$K$5:$K$1504,'原価明細'!$B$5:$B$1504,$A39,'原価明細'!$D$5:$D$1504,"材料費"))</f>
        <v/>
      </c>
      <c r="U39" s="94">
        <f>IF($A39="","",SUMIFS('原価明細'!$K$5:$K$1504,'原価明細'!$B$5:$B$1504,$A39,'原価明細'!$D$5:$D$1504,"労務費"))</f>
        <v/>
      </c>
      <c r="V39" s="94">
        <f>IF($A39="","",SUMIFS('原価明細'!$K$5:$K$1504,'原価明細'!$B$5:$B$1504,$A39,'原価明細'!$D$5:$D$1504,"外注費"))</f>
        <v/>
      </c>
      <c r="W39" s="94">
        <f>IF($A39="","",SUMIFS('原価明細'!$K$5:$K$1504,'原価明細'!$B$5:$B$1504,$A39,'原価明細'!$D$5:$D$1504,"経費"))</f>
        <v/>
      </c>
      <c r="X39" s="95">
        <f>IF($A39="","",IF(ISNUMBER('案件'!G32),'案件'!G32,""))</f>
        <v/>
      </c>
      <c r="Y39" s="91">
        <f>IF($A39="",0,1)</f>
        <v/>
      </c>
    </row>
    <row r="40" ht="17" customHeight="1">
      <c r="A40" s="53">
        <f>IF('案件'!A33="","",'案件'!A33)</f>
        <v/>
      </c>
      <c r="B40" s="37">
        <f>IF($A40="","",'案件'!B33&amp;"")</f>
        <v/>
      </c>
      <c r="C40" s="53">
        <f>IF($A40="","",'案件'!H33&amp;"")</f>
        <v/>
      </c>
      <c r="D40" s="31">
        <f>IF($A40="","",IF(ISNUMBER('案件'!K33),'案件'!K33,""))</f>
        <v/>
      </c>
      <c r="E40" s="31">
        <f>IF($A40="","",SUM('案件'!L33:O33))</f>
        <v/>
      </c>
      <c r="F40" s="30">
        <f>IF($A40="","",SUM(T40:W40))</f>
        <v/>
      </c>
      <c r="G40" s="49">
        <f>IF($A40="","",F40-E40)</f>
        <v/>
      </c>
      <c r="H40" s="32">
        <f>IF($A40="","",IF(E40&gt;0,F40/E40,"－"))</f>
        <v/>
      </c>
      <c r="I40" s="54">
        <f>IF($A40="","",IF(F40=0,"",IF(E40&lt;=0,"予定なし",IF(F40&gt;E40,"超過",IF(AND(C40&lt;&gt;"完了",C40&lt;&gt;"中止",ISNUMBER('設定'!$B$6),'設定'!$B$6&gt;0,F40/E40&gt;='設定'!$B$6),"注意","予定内")))))</f>
        <v/>
      </c>
      <c r="J40" s="31">
        <f>IF($A40="","",IF(OR(C40="完了",C40="中止"),F40,MAX(T40,N('案件'!L33))+MAX(U40,N('案件'!M33))+MAX(V40,N('案件'!N33))+MAX(W40,N('案件'!O33))))</f>
        <v/>
      </c>
      <c r="K40" s="31">
        <f>IF(OR($A40="",NOT(ISNUMBER(D40))),"",D40-E40)</f>
        <v/>
      </c>
      <c r="L40" s="30">
        <f>IF(OR($A40="",NOT(ISNUMBER(D40))),"",D40-J40)</f>
        <v/>
      </c>
      <c r="M40" s="32">
        <f>IF(K40="","",IF(D40&gt;0,K40/D40,"－"))</f>
        <v/>
      </c>
      <c r="N40" s="55">
        <f>IF(L40="","",IF(D40&gt;0,L40/D40,"－"))</f>
        <v/>
      </c>
      <c r="O40" s="50">
        <f>IF(AND(ISNUMBER(M40),ISNUMBER(N40)),(N40-M40)*100,IF($A40="","","－"))</f>
        <v/>
      </c>
      <c r="P40" s="49">
        <f>IF($A40="","",T40-N('案件'!L33))</f>
        <v/>
      </c>
      <c r="Q40" s="49">
        <f>IF($A40="","",U40-N('案件'!M33))</f>
        <v/>
      </c>
      <c r="R40" s="49">
        <f>IF($A40="","",V40-N('案件'!N33))</f>
        <v/>
      </c>
      <c r="S40" s="49">
        <f>IF($A40="","",W40-N('案件'!O33))</f>
        <v/>
      </c>
      <c r="T40" s="94">
        <f>IF($A40="","",SUMIFS('原価明細'!$K$5:$K$1504,'原価明細'!$B$5:$B$1504,$A40,'原価明細'!$D$5:$D$1504,"材料費"))</f>
        <v/>
      </c>
      <c r="U40" s="94">
        <f>IF($A40="","",SUMIFS('原価明細'!$K$5:$K$1504,'原価明細'!$B$5:$B$1504,$A40,'原価明細'!$D$5:$D$1504,"労務費"))</f>
        <v/>
      </c>
      <c r="V40" s="94">
        <f>IF($A40="","",SUMIFS('原価明細'!$K$5:$K$1504,'原価明細'!$B$5:$B$1504,$A40,'原価明細'!$D$5:$D$1504,"外注費"))</f>
        <v/>
      </c>
      <c r="W40" s="94">
        <f>IF($A40="","",SUMIFS('原価明細'!$K$5:$K$1504,'原価明細'!$B$5:$B$1504,$A40,'原価明細'!$D$5:$D$1504,"経費"))</f>
        <v/>
      </c>
      <c r="X40" s="95">
        <f>IF($A40="","",IF(ISNUMBER('案件'!G33),'案件'!G33,""))</f>
        <v/>
      </c>
      <c r="Y40" s="91">
        <f>IF($A40="",0,1)</f>
        <v/>
      </c>
    </row>
    <row r="41" ht="17" customHeight="1">
      <c r="A41" s="53">
        <f>IF('案件'!A34="","",'案件'!A34)</f>
        <v/>
      </c>
      <c r="B41" s="37">
        <f>IF($A41="","",'案件'!B34&amp;"")</f>
        <v/>
      </c>
      <c r="C41" s="53">
        <f>IF($A41="","",'案件'!H34&amp;"")</f>
        <v/>
      </c>
      <c r="D41" s="31">
        <f>IF($A41="","",IF(ISNUMBER('案件'!K34),'案件'!K34,""))</f>
        <v/>
      </c>
      <c r="E41" s="31">
        <f>IF($A41="","",SUM('案件'!L34:O34))</f>
        <v/>
      </c>
      <c r="F41" s="30">
        <f>IF($A41="","",SUM(T41:W41))</f>
        <v/>
      </c>
      <c r="G41" s="49">
        <f>IF($A41="","",F41-E41)</f>
        <v/>
      </c>
      <c r="H41" s="32">
        <f>IF($A41="","",IF(E41&gt;0,F41/E41,"－"))</f>
        <v/>
      </c>
      <c r="I41" s="54">
        <f>IF($A41="","",IF(F41=0,"",IF(E41&lt;=0,"予定なし",IF(F41&gt;E41,"超過",IF(AND(C41&lt;&gt;"完了",C41&lt;&gt;"中止",ISNUMBER('設定'!$B$6),'設定'!$B$6&gt;0,F41/E41&gt;='設定'!$B$6),"注意","予定内")))))</f>
        <v/>
      </c>
      <c r="J41" s="31">
        <f>IF($A41="","",IF(OR(C41="完了",C41="中止"),F41,MAX(T41,N('案件'!L34))+MAX(U41,N('案件'!M34))+MAX(V41,N('案件'!N34))+MAX(W41,N('案件'!O34))))</f>
        <v/>
      </c>
      <c r="K41" s="31">
        <f>IF(OR($A41="",NOT(ISNUMBER(D41))),"",D41-E41)</f>
        <v/>
      </c>
      <c r="L41" s="30">
        <f>IF(OR($A41="",NOT(ISNUMBER(D41))),"",D41-J41)</f>
        <v/>
      </c>
      <c r="M41" s="32">
        <f>IF(K41="","",IF(D41&gt;0,K41/D41,"－"))</f>
        <v/>
      </c>
      <c r="N41" s="55">
        <f>IF(L41="","",IF(D41&gt;0,L41/D41,"－"))</f>
        <v/>
      </c>
      <c r="O41" s="50">
        <f>IF(AND(ISNUMBER(M41),ISNUMBER(N41)),(N41-M41)*100,IF($A41="","","－"))</f>
        <v/>
      </c>
      <c r="P41" s="49">
        <f>IF($A41="","",T41-N('案件'!L34))</f>
        <v/>
      </c>
      <c r="Q41" s="49">
        <f>IF($A41="","",U41-N('案件'!M34))</f>
        <v/>
      </c>
      <c r="R41" s="49">
        <f>IF($A41="","",V41-N('案件'!N34))</f>
        <v/>
      </c>
      <c r="S41" s="49">
        <f>IF($A41="","",W41-N('案件'!O34))</f>
        <v/>
      </c>
      <c r="T41" s="94">
        <f>IF($A41="","",SUMIFS('原価明細'!$K$5:$K$1504,'原価明細'!$B$5:$B$1504,$A41,'原価明細'!$D$5:$D$1504,"材料費"))</f>
        <v/>
      </c>
      <c r="U41" s="94">
        <f>IF($A41="","",SUMIFS('原価明細'!$K$5:$K$1504,'原価明細'!$B$5:$B$1504,$A41,'原価明細'!$D$5:$D$1504,"労務費"))</f>
        <v/>
      </c>
      <c r="V41" s="94">
        <f>IF($A41="","",SUMIFS('原価明細'!$K$5:$K$1504,'原価明細'!$B$5:$B$1504,$A41,'原価明細'!$D$5:$D$1504,"外注費"))</f>
        <v/>
      </c>
      <c r="W41" s="94">
        <f>IF($A41="","",SUMIFS('原価明細'!$K$5:$K$1504,'原価明細'!$B$5:$B$1504,$A41,'原価明細'!$D$5:$D$1504,"経費"))</f>
        <v/>
      </c>
      <c r="X41" s="95">
        <f>IF($A41="","",IF(ISNUMBER('案件'!G34),'案件'!G34,""))</f>
        <v/>
      </c>
      <c r="Y41" s="91">
        <f>IF($A41="",0,1)</f>
        <v/>
      </c>
    </row>
    <row r="42" ht="17" customHeight="1">
      <c r="A42" s="53">
        <f>IF('案件'!A35="","",'案件'!A35)</f>
        <v/>
      </c>
      <c r="B42" s="37">
        <f>IF($A42="","",'案件'!B35&amp;"")</f>
        <v/>
      </c>
      <c r="C42" s="53">
        <f>IF($A42="","",'案件'!H35&amp;"")</f>
        <v/>
      </c>
      <c r="D42" s="31">
        <f>IF($A42="","",IF(ISNUMBER('案件'!K35),'案件'!K35,""))</f>
        <v/>
      </c>
      <c r="E42" s="31">
        <f>IF($A42="","",SUM('案件'!L35:O35))</f>
        <v/>
      </c>
      <c r="F42" s="30">
        <f>IF($A42="","",SUM(T42:W42))</f>
        <v/>
      </c>
      <c r="G42" s="49">
        <f>IF($A42="","",F42-E42)</f>
        <v/>
      </c>
      <c r="H42" s="32">
        <f>IF($A42="","",IF(E42&gt;0,F42/E42,"－"))</f>
        <v/>
      </c>
      <c r="I42" s="54">
        <f>IF($A42="","",IF(F42=0,"",IF(E42&lt;=0,"予定なし",IF(F42&gt;E42,"超過",IF(AND(C42&lt;&gt;"完了",C42&lt;&gt;"中止",ISNUMBER('設定'!$B$6),'設定'!$B$6&gt;0,F42/E42&gt;='設定'!$B$6),"注意","予定内")))))</f>
        <v/>
      </c>
      <c r="J42" s="31">
        <f>IF($A42="","",IF(OR(C42="完了",C42="中止"),F42,MAX(T42,N('案件'!L35))+MAX(U42,N('案件'!M35))+MAX(V42,N('案件'!N35))+MAX(W42,N('案件'!O35))))</f>
        <v/>
      </c>
      <c r="K42" s="31">
        <f>IF(OR($A42="",NOT(ISNUMBER(D42))),"",D42-E42)</f>
        <v/>
      </c>
      <c r="L42" s="30">
        <f>IF(OR($A42="",NOT(ISNUMBER(D42))),"",D42-J42)</f>
        <v/>
      </c>
      <c r="M42" s="32">
        <f>IF(K42="","",IF(D42&gt;0,K42/D42,"－"))</f>
        <v/>
      </c>
      <c r="N42" s="55">
        <f>IF(L42="","",IF(D42&gt;0,L42/D42,"－"))</f>
        <v/>
      </c>
      <c r="O42" s="50">
        <f>IF(AND(ISNUMBER(M42),ISNUMBER(N42)),(N42-M42)*100,IF($A42="","","－"))</f>
        <v/>
      </c>
      <c r="P42" s="49">
        <f>IF($A42="","",T42-N('案件'!L35))</f>
        <v/>
      </c>
      <c r="Q42" s="49">
        <f>IF($A42="","",U42-N('案件'!M35))</f>
        <v/>
      </c>
      <c r="R42" s="49">
        <f>IF($A42="","",V42-N('案件'!N35))</f>
        <v/>
      </c>
      <c r="S42" s="49">
        <f>IF($A42="","",W42-N('案件'!O35))</f>
        <v/>
      </c>
      <c r="T42" s="94">
        <f>IF($A42="","",SUMIFS('原価明細'!$K$5:$K$1504,'原価明細'!$B$5:$B$1504,$A42,'原価明細'!$D$5:$D$1504,"材料費"))</f>
        <v/>
      </c>
      <c r="U42" s="94">
        <f>IF($A42="","",SUMIFS('原価明細'!$K$5:$K$1504,'原価明細'!$B$5:$B$1504,$A42,'原価明細'!$D$5:$D$1504,"労務費"))</f>
        <v/>
      </c>
      <c r="V42" s="94">
        <f>IF($A42="","",SUMIFS('原価明細'!$K$5:$K$1504,'原価明細'!$B$5:$B$1504,$A42,'原価明細'!$D$5:$D$1504,"外注費"))</f>
        <v/>
      </c>
      <c r="W42" s="94">
        <f>IF($A42="","",SUMIFS('原価明細'!$K$5:$K$1504,'原価明細'!$B$5:$B$1504,$A42,'原価明細'!$D$5:$D$1504,"経費"))</f>
        <v/>
      </c>
      <c r="X42" s="95">
        <f>IF($A42="","",IF(ISNUMBER('案件'!G35),'案件'!G35,""))</f>
        <v/>
      </c>
      <c r="Y42" s="91">
        <f>IF($A42="",0,1)</f>
        <v/>
      </c>
    </row>
    <row r="43" ht="17" customHeight="1">
      <c r="A43" s="53">
        <f>IF('案件'!A36="","",'案件'!A36)</f>
        <v/>
      </c>
      <c r="B43" s="37">
        <f>IF($A43="","",'案件'!B36&amp;"")</f>
        <v/>
      </c>
      <c r="C43" s="53">
        <f>IF($A43="","",'案件'!H36&amp;"")</f>
        <v/>
      </c>
      <c r="D43" s="31">
        <f>IF($A43="","",IF(ISNUMBER('案件'!K36),'案件'!K36,""))</f>
        <v/>
      </c>
      <c r="E43" s="31">
        <f>IF($A43="","",SUM('案件'!L36:O36))</f>
        <v/>
      </c>
      <c r="F43" s="30">
        <f>IF($A43="","",SUM(T43:W43))</f>
        <v/>
      </c>
      <c r="G43" s="49">
        <f>IF($A43="","",F43-E43)</f>
        <v/>
      </c>
      <c r="H43" s="32">
        <f>IF($A43="","",IF(E43&gt;0,F43/E43,"－"))</f>
        <v/>
      </c>
      <c r="I43" s="54">
        <f>IF($A43="","",IF(F43=0,"",IF(E43&lt;=0,"予定なし",IF(F43&gt;E43,"超過",IF(AND(C43&lt;&gt;"完了",C43&lt;&gt;"中止",ISNUMBER('設定'!$B$6),'設定'!$B$6&gt;0,F43/E43&gt;='設定'!$B$6),"注意","予定内")))))</f>
        <v/>
      </c>
      <c r="J43" s="31">
        <f>IF($A43="","",IF(OR(C43="完了",C43="中止"),F43,MAX(T43,N('案件'!L36))+MAX(U43,N('案件'!M36))+MAX(V43,N('案件'!N36))+MAX(W43,N('案件'!O36))))</f>
        <v/>
      </c>
      <c r="K43" s="31">
        <f>IF(OR($A43="",NOT(ISNUMBER(D43))),"",D43-E43)</f>
        <v/>
      </c>
      <c r="L43" s="30">
        <f>IF(OR($A43="",NOT(ISNUMBER(D43))),"",D43-J43)</f>
        <v/>
      </c>
      <c r="M43" s="32">
        <f>IF(K43="","",IF(D43&gt;0,K43/D43,"－"))</f>
        <v/>
      </c>
      <c r="N43" s="55">
        <f>IF(L43="","",IF(D43&gt;0,L43/D43,"－"))</f>
        <v/>
      </c>
      <c r="O43" s="50">
        <f>IF(AND(ISNUMBER(M43),ISNUMBER(N43)),(N43-M43)*100,IF($A43="","","－"))</f>
        <v/>
      </c>
      <c r="P43" s="49">
        <f>IF($A43="","",T43-N('案件'!L36))</f>
        <v/>
      </c>
      <c r="Q43" s="49">
        <f>IF($A43="","",U43-N('案件'!M36))</f>
        <v/>
      </c>
      <c r="R43" s="49">
        <f>IF($A43="","",V43-N('案件'!N36))</f>
        <v/>
      </c>
      <c r="S43" s="49">
        <f>IF($A43="","",W43-N('案件'!O36))</f>
        <v/>
      </c>
      <c r="T43" s="94">
        <f>IF($A43="","",SUMIFS('原価明細'!$K$5:$K$1504,'原価明細'!$B$5:$B$1504,$A43,'原価明細'!$D$5:$D$1504,"材料費"))</f>
        <v/>
      </c>
      <c r="U43" s="94">
        <f>IF($A43="","",SUMIFS('原価明細'!$K$5:$K$1504,'原価明細'!$B$5:$B$1504,$A43,'原価明細'!$D$5:$D$1504,"労務費"))</f>
        <v/>
      </c>
      <c r="V43" s="94">
        <f>IF($A43="","",SUMIFS('原価明細'!$K$5:$K$1504,'原価明細'!$B$5:$B$1504,$A43,'原価明細'!$D$5:$D$1504,"外注費"))</f>
        <v/>
      </c>
      <c r="W43" s="94">
        <f>IF($A43="","",SUMIFS('原価明細'!$K$5:$K$1504,'原価明細'!$B$5:$B$1504,$A43,'原価明細'!$D$5:$D$1504,"経費"))</f>
        <v/>
      </c>
      <c r="X43" s="95">
        <f>IF($A43="","",IF(ISNUMBER('案件'!G36),'案件'!G36,""))</f>
        <v/>
      </c>
      <c r="Y43" s="91">
        <f>IF($A43="",0,1)</f>
        <v/>
      </c>
    </row>
    <row r="44" ht="17" customHeight="1">
      <c r="A44" s="53">
        <f>IF('案件'!A37="","",'案件'!A37)</f>
        <v/>
      </c>
      <c r="B44" s="37">
        <f>IF($A44="","",'案件'!B37&amp;"")</f>
        <v/>
      </c>
      <c r="C44" s="53">
        <f>IF($A44="","",'案件'!H37&amp;"")</f>
        <v/>
      </c>
      <c r="D44" s="31">
        <f>IF($A44="","",IF(ISNUMBER('案件'!K37),'案件'!K37,""))</f>
        <v/>
      </c>
      <c r="E44" s="31">
        <f>IF($A44="","",SUM('案件'!L37:O37))</f>
        <v/>
      </c>
      <c r="F44" s="30">
        <f>IF($A44="","",SUM(T44:W44))</f>
        <v/>
      </c>
      <c r="G44" s="49">
        <f>IF($A44="","",F44-E44)</f>
        <v/>
      </c>
      <c r="H44" s="32">
        <f>IF($A44="","",IF(E44&gt;0,F44/E44,"－"))</f>
        <v/>
      </c>
      <c r="I44" s="54">
        <f>IF($A44="","",IF(F44=0,"",IF(E44&lt;=0,"予定なし",IF(F44&gt;E44,"超過",IF(AND(C44&lt;&gt;"完了",C44&lt;&gt;"中止",ISNUMBER('設定'!$B$6),'設定'!$B$6&gt;0,F44/E44&gt;='設定'!$B$6),"注意","予定内")))))</f>
        <v/>
      </c>
      <c r="J44" s="31">
        <f>IF($A44="","",IF(OR(C44="完了",C44="中止"),F44,MAX(T44,N('案件'!L37))+MAX(U44,N('案件'!M37))+MAX(V44,N('案件'!N37))+MAX(W44,N('案件'!O37))))</f>
        <v/>
      </c>
      <c r="K44" s="31">
        <f>IF(OR($A44="",NOT(ISNUMBER(D44))),"",D44-E44)</f>
        <v/>
      </c>
      <c r="L44" s="30">
        <f>IF(OR($A44="",NOT(ISNUMBER(D44))),"",D44-J44)</f>
        <v/>
      </c>
      <c r="M44" s="32">
        <f>IF(K44="","",IF(D44&gt;0,K44/D44,"－"))</f>
        <v/>
      </c>
      <c r="N44" s="55">
        <f>IF(L44="","",IF(D44&gt;0,L44/D44,"－"))</f>
        <v/>
      </c>
      <c r="O44" s="50">
        <f>IF(AND(ISNUMBER(M44),ISNUMBER(N44)),(N44-M44)*100,IF($A44="","","－"))</f>
        <v/>
      </c>
      <c r="P44" s="49">
        <f>IF($A44="","",T44-N('案件'!L37))</f>
        <v/>
      </c>
      <c r="Q44" s="49">
        <f>IF($A44="","",U44-N('案件'!M37))</f>
        <v/>
      </c>
      <c r="R44" s="49">
        <f>IF($A44="","",V44-N('案件'!N37))</f>
        <v/>
      </c>
      <c r="S44" s="49">
        <f>IF($A44="","",W44-N('案件'!O37))</f>
        <v/>
      </c>
      <c r="T44" s="94">
        <f>IF($A44="","",SUMIFS('原価明細'!$K$5:$K$1504,'原価明細'!$B$5:$B$1504,$A44,'原価明細'!$D$5:$D$1504,"材料費"))</f>
        <v/>
      </c>
      <c r="U44" s="94">
        <f>IF($A44="","",SUMIFS('原価明細'!$K$5:$K$1504,'原価明細'!$B$5:$B$1504,$A44,'原価明細'!$D$5:$D$1504,"労務費"))</f>
        <v/>
      </c>
      <c r="V44" s="94">
        <f>IF($A44="","",SUMIFS('原価明細'!$K$5:$K$1504,'原価明細'!$B$5:$B$1504,$A44,'原価明細'!$D$5:$D$1504,"外注費"))</f>
        <v/>
      </c>
      <c r="W44" s="94">
        <f>IF($A44="","",SUMIFS('原価明細'!$K$5:$K$1504,'原価明細'!$B$5:$B$1504,$A44,'原価明細'!$D$5:$D$1504,"経費"))</f>
        <v/>
      </c>
      <c r="X44" s="95">
        <f>IF($A44="","",IF(ISNUMBER('案件'!G37),'案件'!G37,""))</f>
        <v/>
      </c>
      <c r="Y44" s="91">
        <f>IF($A44="",0,1)</f>
        <v/>
      </c>
    </row>
    <row r="45" ht="17" customHeight="1">
      <c r="A45" s="53">
        <f>IF('案件'!A38="","",'案件'!A38)</f>
        <v/>
      </c>
      <c r="B45" s="37">
        <f>IF($A45="","",'案件'!B38&amp;"")</f>
        <v/>
      </c>
      <c r="C45" s="53">
        <f>IF($A45="","",'案件'!H38&amp;"")</f>
        <v/>
      </c>
      <c r="D45" s="31">
        <f>IF($A45="","",IF(ISNUMBER('案件'!K38),'案件'!K38,""))</f>
        <v/>
      </c>
      <c r="E45" s="31">
        <f>IF($A45="","",SUM('案件'!L38:O38))</f>
        <v/>
      </c>
      <c r="F45" s="30">
        <f>IF($A45="","",SUM(T45:W45))</f>
        <v/>
      </c>
      <c r="G45" s="49">
        <f>IF($A45="","",F45-E45)</f>
        <v/>
      </c>
      <c r="H45" s="32">
        <f>IF($A45="","",IF(E45&gt;0,F45/E45,"－"))</f>
        <v/>
      </c>
      <c r="I45" s="54">
        <f>IF($A45="","",IF(F45=0,"",IF(E45&lt;=0,"予定なし",IF(F45&gt;E45,"超過",IF(AND(C45&lt;&gt;"完了",C45&lt;&gt;"中止",ISNUMBER('設定'!$B$6),'設定'!$B$6&gt;0,F45/E45&gt;='設定'!$B$6),"注意","予定内")))))</f>
        <v/>
      </c>
      <c r="J45" s="31">
        <f>IF($A45="","",IF(OR(C45="完了",C45="中止"),F45,MAX(T45,N('案件'!L38))+MAX(U45,N('案件'!M38))+MAX(V45,N('案件'!N38))+MAX(W45,N('案件'!O38))))</f>
        <v/>
      </c>
      <c r="K45" s="31">
        <f>IF(OR($A45="",NOT(ISNUMBER(D45))),"",D45-E45)</f>
        <v/>
      </c>
      <c r="L45" s="30">
        <f>IF(OR($A45="",NOT(ISNUMBER(D45))),"",D45-J45)</f>
        <v/>
      </c>
      <c r="M45" s="32">
        <f>IF(K45="","",IF(D45&gt;0,K45/D45,"－"))</f>
        <v/>
      </c>
      <c r="N45" s="55">
        <f>IF(L45="","",IF(D45&gt;0,L45/D45,"－"))</f>
        <v/>
      </c>
      <c r="O45" s="50">
        <f>IF(AND(ISNUMBER(M45),ISNUMBER(N45)),(N45-M45)*100,IF($A45="","","－"))</f>
        <v/>
      </c>
      <c r="P45" s="49">
        <f>IF($A45="","",T45-N('案件'!L38))</f>
        <v/>
      </c>
      <c r="Q45" s="49">
        <f>IF($A45="","",U45-N('案件'!M38))</f>
        <v/>
      </c>
      <c r="R45" s="49">
        <f>IF($A45="","",V45-N('案件'!N38))</f>
        <v/>
      </c>
      <c r="S45" s="49">
        <f>IF($A45="","",W45-N('案件'!O38))</f>
        <v/>
      </c>
      <c r="T45" s="94">
        <f>IF($A45="","",SUMIFS('原価明細'!$K$5:$K$1504,'原価明細'!$B$5:$B$1504,$A45,'原価明細'!$D$5:$D$1504,"材料費"))</f>
        <v/>
      </c>
      <c r="U45" s="94">
        <f>IF($A45="","",SUMIFS('原価明細'!$K$5:$K$1504,'原価明細'!$B$5:$B$1504,$A45,'原価明細'!$D$5:$D$1504,"労務費"))</f>
        <v/>
      </c>
      <c r="V45" s="94">
        <f>IF($A45="","",SUMIFS('原価明細'!$K$5:$K$1504,'原価明細'!$B$5:$B$1504,$A45,'原価明細'!$D$5:$D$1504,"外注費"))</f>
        <v/>
      </c>
      <c r="W45" s="94">
        <f>IF($A45="","",SUMIFS('原価明細'!$K$5:$K$1504,'原価明細'!$B$5:$B$1504,$A45,'原価明細'!$D$5:$D$1504,"経費"))</f>
        <v/>
      </c>
      <c r="X45" s="95">
        <f>IF($A45="","",IF(ISNUMBER('案件'!G38),'案件'!G38,""))</f>
        <v/>
      </c>
      <c r="Y45" s="91">
        <f>IF($A45="",0,1)</f>
        <v/>
      </c>
    </row>
    <row r="46" ht="17" customHeight="1">
      <c r="A46" s="53">
        <f>IF('案件'!A39="","",'案件'!A39)</f>
        <v/>
      </c>
      <c r="B46" s="37">
        <f>IF($A46="","",'案件'!B39&amp;"")</f>
        <v/>
      </c>
      <c r="C46" s="53">
        <f>IF($A46="","",'案件'!H39&amp;"")</f>
        <v/>
      </c>
      <c r="D46" s="31">
        <f>IF($A46="","",IF(ISNUMBER('案件'!K39),'案件'!K39,""))</f>
        <v/>
      </c>
      <c r="E46" s="31">
        <f>IF($A46="","",SUM('案件'!L39:O39))</f>
        <v/>
      </c>
      <c r="F46" s="30">
        <f>IF($A46="","",SUM(T46:W46))</f>
        <v/>
      </c>
      <c r="G46" s="49">
        <f>IF($A46="","",F46-E46)</f>
        <v/>
      </c>
      <c r="H46" s="32">
        <f>IF($A46="","",IF(E46&gt;0,F46/E46,"－"))</f>
        <v/>
      </c>
      <c r="I46" s="54">
        <f>IF($A46="","",IF(F46=0,"",IF(E46&lt;=0,"予定なし",IF(F46&gt;E46,"超過",IF(AND(C46&lt;&gt;"完了",C46&lt;&gt;"中止",ISNUMBER('設定'!$B$6),'設定'!$B$6&gt;0,F46/E46&gt;='設定'!$B$6),"注意","予定内")))))</f>
        <v/>
      </c>
      <c r="J46" s="31">
        <f>IF($A46="","",IF(OR(C46="完了",C46="中止"),F46,MAX(T46,N('案件'!L39))+MAX(U46,N('案件'!M39))+MAX(V46,N('案件'!N39))+MAX(W46,N('案件'!O39))))</f>
        <v/>
      </c>
      <c r="K46" s="31">
        <f>IF(OR($A46="",NOT(ISNUMBER(D46))),"",D46-E46)</f>
        <v/>
      </c>
      <c r="L46" s="30">
        <f>IF(OR($A46="",NOT(ISNUMBER(D46))),"",D46-J46)</f>
        <v/>
      </c>
      <c r="M46" s="32">
        <f>IF(K46="","",IF(D46&gt;0,K46/D46,"－"))</f>
        <v/>
      </c>
      <c r="N46" s="55">
        <f>IF(L46="","",IF(D46&gt;0,L46/D46,"－"))</f>
        <v/>
      </c>
      <c r="O46" s="50">
        <f>IF(AND(ISNUMBER(M46),ISNUMBER(N46)),(N46-M46)*100,IF($A46="","","－"))</f>
        <v/>
      </c>
      <c r="P46" s="49">
        <f>IF($A46="","",T46-N('案件'!L39))</f>
        <v/>
      </c>
      <c r="Q46" s="49">
        <f>IF($A46="","",U46-N('案件'!M39))</f>
        <v/>
      </c>
      <c r="R46" s="49">
        <f>IF($A46="","",V46-N('案件'!N39))</f>
        <v/>
      </c>
      <c r="S46" s="49">
        <f>IF($A46="","",W46-N('案件'!O39))</f>
        <v/>
      </c>
      <c r="T46" s="94">
        <f>IF($A46="","",SUMIFS('原価明細'!$K$5:$K$1504,'原価明細'!$B$5:$B$1504,$A46,'原価明細'!$D$5:$D$1504,"材料費"))</f>
        <v/>
      </c>
      <c r="U46" s="94">
        <f>IF($A46="","",SUMIFS('原価明細'!$K$5:$K$1504,'原価明細'!$B$5:$B$1504,$A46,'原価明細'!$D$5:$D$1504,"労務費"))</f>
        <v/>
      </c>
      <c r="V46" s="94">
        <f>IF($A46="","",SUMIFS('原価明細'!$K$5:$K$1504,'原価明細'!$B$5:$B$1504,$A46,'原価明細'!$D$5:$D$1504,"外注費"))</f>
        <v/>
      </c>
      <c r="W46" s="94">
        <f>IF($A46="","",SUMIFS('原価明細'!$K$5:$K$1504,'原価明細'!$B$5:$B$1504,$A46,'原価明細'!$D$5:$D$1504,"経費"))</f>
        <v/>
      </c>
      <c r="X46" s="95">
        <f>IF($A46="","",IF(ISNUMBER('案件'!G39),'案件'!G39,""))</f>
        <v/>
      </c>
      <c r="Y46" s="91">
        <f>IF($A46="",0,1)</f>
        <v/>
      </c>
    </row>
    <row r="47" ht="17" customHeight="1">
      <c r="A47" s="53">
        <f>IF('案件'!A40="","",'案件'!A40)</f>
        <v/>
      </c>
      <c r="B47" s="37">
        <f>IF($A47="","",'案件'!B40&amp;"")</f>
        <v/>
      </c>
      <c r="C47" s="53">
        <f>IF($A47="","",'案件'!H40&amp;"")</f>
        <v/>
      </c>
      <c r="D47" s="31">
        <f>IF($A47="","",IF(ISNUMBER('案件'!K40),'案件'!K40,""))</f>
        <v/>
      </c>
      <c r="E47" s="31">
        <f>IF($A47="","",SUM('案件'!L40:O40))</f>
        <v/>
      </c>
      <c r="F47" s="30">
        <f>IF($A47="","",SUM(T47:W47))</f>
        <v/>
      </c>
      <c r="G47" s="49">
        <f>IF($A47="","",F47-E47)</f>
        <v/>
      </c>
      <c r="H47" s="32">
        <f>IF($A47="","",IF(E47&gt;0,F47/E47,"－"))</f>
        <v/>
      </c>
      <c r="I47" s="54">
        <f>IF($A47="","",IF(F47=0,"",IF(E47&lt;=0,"予定なし",IF(F47&gt;E47,"超過",IF(AND(C47&lt;&gt;"完了",C47&lt;&gt;"中止",ISNUMBER('設定'!$B$6),'設定'!$B$6&gt;0,F47/E47&gt;='設定'!$B$6),"注意","予定内")))))</f>
        <v/>
      </c>
      <c r="J47" s="31">
        <f>IF($A47="","",IF(OR(C47="完了",C47="中止"),F47,MAX(T47,N('案件'!L40))+MAX(U47,N('案件'!M40))+MAX(V47,N('案件'!N40))+MAX(W47,N('案件'!O40))))</f>
        <v/>
      </c>
      <c r="K47" s="31">
        <f>IF(OR($A47="",NOT(ISNUMBER(D47))),"",D47-E47)</f>
        <v/>
      </c>
      <c r="L47" s="30">
        <f>IF(OR($A47="",NOT(ISNUMBER(D47))),"",D47-J47)</f>
        <v/>
      </c>
      <c r="M47" s="32">
        <f>IF(K47="","",IF(D47&gt;0,K47/D47,"－"))</f>
        <v/>
      </c>
      <c r="N47" s="55">
        <f>IF(L47="","",IF(D47&gt;0,L47/D47,"－"))</f>
        <v/>
      </c>
      <c r="O47" s="50">
        <f>IF(AND(ISNUMBER(M47),ISNUMBER(N47)),(N47-M47)*100,IF($A47="","","－"))</f>
        <v/>
      </c>
      <c r="P47" s="49">
        <f>IF($A47="","",T47-N('案件'!L40))</f>
        <v/>
      </c>
      <c r="Q47" s="49">
        <f>IF($A47="","",U47-N('案件'!M40))</f>
        <v/>
      </c>
      <c r="R47" s="49">
        <f>IF($A47="","",V47-N('案件'!N40))</f>
        <v/>
      </c>
      <c r="S47" s="49">
        <f>IF($A47="","",W47-N('案件'!O40))</f>
        <v/>
      </c>
      <c r="T47" s="94">
        <f>IF($A47="","",SUMIFS('原価明細'!$K$5:$K$1504,'原価明細'!$B$5:$B$1504,$A47,'原価明細'!$D$5:$D$1504,"材料費"))</f>
        <v/>
      </c>
      <c r="U47" s="94">
        <f>IF($A47="","",SUMIFS('原価明細'!$K$5:$K$1504,'原価明細'!$B$5:$B$1504,$A47,'原価明細'!$D$5:$D$1504,"労務費"))</f>
        <v/>
      </c>
      <c r="V47" s="94">
        <f>IF($A47="","",SUMIFS('原価明細'!$K$5:$K$1504,'原価明細'!$B$5:$B$1504,$A47,'原価明細'!$D$5:$D$1504,"外注費"))</f>
        <v/>
      </c>
      <c r="W47" s="94">
        <f>IF($A47="","",SUMIFS('原価明細'!$K$5:$K$1504,'原価明細'!$B$5:$B$1504,$A47,'原価明細'!$D$5:$D$1504,"経費"))</f>
        <v/>
      </c>
      <c r="X47" s="95">
        <f>IF($A47="","",IF(ISNUMBER('案件'!G40),'案件'!G40,""))</f>
        <v/>
      </c>
      <c r="Y47" s="91">
        <f>IF($A47="",0,1)</f>
        <v/>
      </c>
    </row>
    <row r="48" ht="17" customHeight="1">
      <c r="A48" s="53">
        <f>IF('案件'!A41="","",'案件'!A41)</f>
        <v/>
      </c>
      <c r="B48" s="37">
        <f>IF($A48="","",'案件'!B41&amp;"")</f>
        <v/>
      </c>
      <c r="C48" s="53">
        <f>IF($A48="","",'案件'!H41&amp;"")</f>
        <v/>
      </c>
      <c r="D48" s="31">
        <f>IF($A48="","",IF(ISNUMBER('案件'!K41),'案件'!K41,""))</f>
        <v/>
      </c>
      <c r="E48" s="31">
        <f>IF($A48="","",SUM('案件'!L41:O41))</f>
        <v/>
      </c>
      <c r="F48" s="30">
        <f>IF($A48="","",SUM(T48:W48))</f>
        <v/>
      </c>
      <c r="G48" s="49">
        <f>IF($A48="","",F48-E48)</f>
        <v/>
      </c>
      <c r="H48" s="32">
        <f>IF($A48="","",IF(E48&gt;0,F48/E48,"－"))</f>
        <v/>
      </c>
      <c r="I48" s="54">
        <f>IF($A48="","",IF(F48=0,"",IF(E48&lt;=0,"予定なし",IF(F48&gt;E48,"超過",IF(AND(C48&lt;&gt;"完了",C48&lt;&gt;"中止",ISNUMBER('設定'!$B$6),'設定'!$B$6&gt;0,F48/E48&gt;='設定'!$B$6),"注意","予定内")))))</f>
        <v/>
      </c>
      <c r="J48" s="31">
        <f>IF($A48="","",IF(OR(C48="完了",C48="中止"),F48,MAX(T48,N('案件'!L41))+MAX(U48,N('案件'!M41))+MAX(V48,N('案件'!N41))+MAX(W48,N('案件'!O41))))</f>
        <v/>
      </c>
      <c r="K48" s="31">
        <f>IF(OR($A48="",NOT(ISNUMBER(D48))),"",D48-E48)</f>
        <v/>
      </c>
      <c r="L48" s="30">
        <f>IF(OR($A48="",NOT(ISNUMBER(D48))),"",D48-J48)</f>
        <v/>
      </c>
      <c r="M48" s="32">
        <f>IF(K48="","",IF(D48&gt;0,K48/D48,"－"))</f>
        <v/>
      </c>
      <c r="N48" s="55">
        <f>IF(L48="","",IF(D48&gt;0,L48/D48,"－"))</f>
        <v/>
      </c>
      <c r="O48" s="50">
        <f>IF(AND(ISNUMBER(M48),ISNUMBER(N48)),(N48-M48)*100,IF($A48="","","－"))</f>
        <v/>
      </c>
      <c r="P48" s="49">
        <f>IF($A48="","",T48-N('案件'!L41))</f>
        <v/>
      </c>
      <c r="Q48" s="49">
        <f>IF($A48="","",U48-N('案件'!M41))</f>
        <v/>
      </c>
      <c r="R48" s="49">
        <f>IF($A48="","",V48-N('案件'!N41))</f>
        <v/>
      </c>
      <c r="S48" s="49">
        <f>IF($A48="","",W48-N('案件'!O41))</f>
        <v/>
      </c>
      <c r="T48" s="94">
        <f>IF($A48="","",SUMIFS('原価明細'!$K$5:$K$1504,'原価明細'!$B$5:$B$1504,$A48,'原価明細'!$D$5:$D$1504,"材料費"))</f>
        <v/>
      </c>
      <c r="U48" s="94">
        <f>IF($A48="","",SUMIFS('原価明細'!$K$5:$K$1504,'原価明細'!$B$5:$B$1504,$A48,'原価明細'!$D$5:$D$1504,"労務費"))</f>
        <v/>
      </c>
      <c r="V48" s="94">
        <f>IF($A48="","",SUMIFS('原価明細'!$K$5:$K$1504,'原価明細'!$B$5:$B$1504,$A48,'原価明細'!$D$5:$D$1504,"外注費"))</f>
        <v/>
      </c>
      <c r="W48" s="94">
        <f>IF($A48="","",SUMIFS('原価明細'!$K$5:$K$1504,'原価明細'!$B$5:$B$1504,$A48,'原価明細'!$D$5:$D$1504,"経費"))</f>
        <v/>
      </c>
      <c r="X48" s="95">
        <f>IF($A48="","",IF(ISNUMBER('案件'!G41),'案件'!G41,""))</f>
        <v/>
      </c>
      <c r="Y48" s="91">
        <f>IF($A48="",0,1)</f>
        <v/>
      </c>
    </row>
    <row r="49" ht="17" customHeight="1">
      <c r="A49" s="53">
        <f>IF('案件'!A42="","",'案件'!A42)</f>
        <v/>
      </c>
      <c r="B49" s="37">
        <f>IF($A49="","",'案件'!B42&amp;"")</f>
        <v/>
      </c>
      <c r="C49" s="53">
        <f>IF($A49="","",'案件'!H42&amp;"")</f>
        <v/>
      </c>
      <c r="D49" s="31">
        <f>IF($A49="","",IF(ISNUMBER('案件'!K42),'案件'!K42,""))</f>
        <v/>
      </c>
      <c r="E49" s="31">
        <f>IF($A49="","",SUM('案件'!L42:O42))</f>
        <v/>
      </c>
      <c r="F49" s="30">
        <f>IF($A49="","",SUM(T49:W49))</f>
        <v/>
      </c>
      <c r="G49" s="49">
        <f>IF($A49="","",F49-E49)</f>
        <v/>
      </c>
      <c r="H49" s="32">
        <f>IF($A49="","",IF(E49&gt;0,F49/E49,"－"))</f>
        <v/>
      </c>
      <c r="I49" s="54">
        <f>IF($A49="","",IF(F49=0,"",IF(E49&lt;=0,"予定なし",IF(F49&gt;E49,"超過",IF(AND(C49&lt;&gt;"完了",C49&lt;&gt;"中止",ISNUMBER('設定'!$B$6),'設定'!$B$6&gt;0,F49/E49&gt;='設定'!$B$6),"注意","予定内")))))</f>
        <v/>
      </c>
      <c r="J49" s="31">
        <f>IF($A49="","",IF(OR(C49="完了",C49="中止"),F49,MAX(T49,N('案件'!L42))+MAX(U49,N('案件'!M42))+MAX(V49,N('案件'!N42))+MAX(W49,N('案件'!O42))))</f>
        <v/>
      </c>
      <c r="K49" s="31">
        <f>IF(OR($A49="",NOT(ISNUMBER(D49))),"",D49-E49)</f>
        <v/>
      </c>
      <c r="L49" s="30">
        <f>IF(OR($A49="",NOT(ISNUMBER(D49))),"",D49-J49)</f>
        <v/>
      </c>
      <c r="M49" s="32">
        <f>IF(K49="","",IF(D49&gt;0,K49/D49,"－"))</f>
        <v/>
      </c>
      <c r="N49" s="55">
        <f>IF(L49="","",IF(D49&gt;0,L49/D49,"－"))</f>
        <v/>
      </c>
      <c r="O49" s="50">
        <f>IF(AND(ISNUMBER(M49),ISNUMBER(N49)),(N49-M49)*100,IF($A49="","","－"))</f>
        <v/>
      </c>
      <c r="P49" s="49">
        <f>IF($A49="","",T49-N('案件'!L42))</f>
        <v/>
      </c>
      <c r="Q49" s="49">
        <f>IF($A49="","",U49-N('案件'!M42))</f>
        <v/>
      </c>
      <c r="R49" s="49">
        <f>IF($A49="","",V49-N('案件'!N42))</f>
        <v/>
      </c>
      <c r="S49" s="49">
        <f>IF($A49="","",W49-N('案件'!O42))</f>
        <v/>
      </c>
      <c r="T49" s="94">
        <f>IF($A49="","",SUMIFS('原価明細'!$K$5:$K$1504,'原価明細'!$B$5:$B$1504,$A49,'原価明細'!$D$5:$D$1504,"材料費"))</f>
        <v/>
      </c>
      <c r="U49" s="94">
        <f>IF($A49="","",SUMIFS('原価明細'!$K$5:$K$1504,'原価明細'!$B$5:$B$1504,$A49,'原価明細'!$D$5:$D$1504,"労務費"))</f>
        <v/>
      </c>
      <c r="V49" s="94">
        <f>IF($A49="","",SUMIFS('原価明細'!$K$5:$K$1504,'原価明細'!$B$5:$B$1504,$A49,'原価明細'!$D$5:$D$1504,"外注費"))</f>
        <v/>
      </c>
      <c r="W49" s="94">
        <f>IF($A49="","",SUMIFS('原価明細'!$K$5:$K$1504,'原価明細'!$B$5:$B$1504,$A49,'原価明細'!$D$5:$D$1504,"経費"))</f>
        <v/>
      </c>
      <c r="X49" s="95">
        <f>IF($A49="","",IF(ISNUMBER('案件'!G42),'案件'!G42,""))</f>
        <v/>
      </c>
      <c r="Y49" s="91">
        <f>IF($A49="",0,1)</f>
        <v/>
      </c>
    </row>
    <row r="50" ht="17" customHeight="1">
      <c r="A50" s="53">
        <f>IF('案件'!A43="","",'案件'!A43)</f>
        <v/>
      </c>
      <c r="B50" s="37">
        <f>IF($A50="","",'案件'!B43&amp;"")</f>
        <v/>
      </c>
      <c r="C50" s="53">
        <f>IF($A50="","",'案件'!H43&amp;"")</f>
        <v/>
      </c>
      <c r="D50" s="31">
        <f>IF($A50="","",IF(ISNUMBER('案件'!K43),'案件'!K43,""))</f>
        <v/>
      </c>
      <c r="E50" s="31">
        <f>IF($A50="","",SUM('案件'!L43:O43))</f>
        <v/>
      </c>
      <c r="F50" s="30">
        <f>IF($A50="","",SUM(T50:W50))</f>
        <v/>
      </c>
      <c r="G50" s="49">
        <f>IF($A50="","",F50-E50)</f>
        <v/>
      </c>
      <c r="H50" s="32">
        <f>IF($A50="","",IF(E50&gt;0,F50/E50,"－"))</f>
        <v/>
      </c>
      <c r="I50" s="54">
        <f>IF($A50="","",IF(F50=0,"",IF(E50&lt;=0,"予定なし",IF(F50&gt;E50,"超過",IF(AND(C50&lt;&gt;"完了",C50&lt;&gt;"中止",ISNUMBER('設定'!$B$6),'設定'!$B$6&gt;0,F50/E50&gt;='設定'!$B$6),"注意","予定内")))))</f>
        <v/>
      </c>
      <c r="J50" s="31">
        <f>IF($A50="","",IF(OR(C50="完了",C50="中止"),F50,MAX(T50,N('案件'!L43))+MAX(U50,N('案件'!M43))+MAX(V50,N('案件'!N43))+MAX(W50,N('案件'!O43))))</f>
        <v/>
      </c>
      <c r="K50" s="31">
        <f>IF(OR($A50="",NOT(ISNUMBER(D50))),"",D50-E50)</f>
        <v/>
      </c>
      <c r="L50" s="30">
        <f>IF(OR($A50="",NOT(ISNUMBER(D50))),"",D50-J50)</f>
        <v/>
      </c>
      <c r="M50" s="32">
        <f>IF(K50="","",IF(D50&gt;0,K50/D50,"－"))</f>
        <v/>
      </c>
      <c r="N50" s="55">
        <f>IF(L50="","",IF(D50&gt;0,L50/D50,"－"))</f>
        <v/>
      </c>
      <c r="O50" s="50">
        <f>IF(AND(ISNUMBER(M50),ISNUMBER(N50)),(N50-M50)*100,IF($A50="","","－"))</f>
        <v/>
      </c>
      <c r="P50" s="49">
        <f>IF($A50="","",T50-N('案件'!L43))</f>
        <v/>
      </c>
      <c r="Q50" s="49">
        <f>IF($A50="","",U50-N('案件'!M43))</f>
        <v/>
      </c>
      <c r="R50" s="49">
        <f>IF($A50="","",V50-N('案件'!N43))</f>
        <v/>
      </c>
      <c r="S50" s="49">
        <f>IF($A50="","",W50-N('案件'!O43))</f>
        <v/>
      </c>
      <c r="T50" s="94">
        <f>IF($A50="","",SUMIFS('原価明細'!$K$5:$K$1504,'原価明細'!$B$5:$B$1504,$A50,'原価明細'!$D$5:$D$1504,"材料費"))</f>
        <v/>
      </c>
      <c r="U50" s="94">
        <f>IF($A50="","",SUMIFS('原価明細'!$K$5:$K$1504,'原価明細'!$B$5:$B$1504,$A50,'原価明細'!$D$5:$D$1504,"労務費"))</f>
        <v/>
      </c>
      <c r="V50" s="94">
        <f>IF($A50="","",SUMIFS('原価明細'!$K$5:$K$1504,'原価明細'!$B$5:$B$1504,$A50,'原価明細'!$D$5:$D$1504,"外注費"))</f>
        <v/>
      </c>
      <c r="W50" s="94">
        <f>IF($A50="","",SUMIFS('原価明細'!$K$5:$K$1504,'原価明細'!$B$5:$B$1504,$A50,'原価明細'!$D$5:$D$1504,"経費"))</f>
        <v/>
      </c>
      <c r="X50" s="95">
        <f>IF($A50="","",IF(ISNUMBER('案件'!G43),'案件'!G43,""))</f>
        <v/>
      </c>
      <c r="Y50" s="91">
        <f>IF($A50="",0,1)</f>
        <v/>
      </c>
    </row>
    <row r="51" ht="17" customHeight="1">
      <c r="A51" s="53">
        <f>IF('案件'!A44="","",'案件'!A44)</f>
        <v/>
      </c>
      <c r="B51" s="37">
        <f>IF($A51="","",'案件'!B44&amp;"")</f>
        <v/>
      </c>
      <c r="C51" s="53">
        <f>IF($A51="","",'案件'!H44&amp;"")</f>
        <v/>
      </c>
      <c r="D51" s="31">
        <f>IF($A51="","",IF(ISNUMBER('案件'!K44),'案件'!K44,""))</f>
        <v/>
      </c>
      <c r="E51" s="31">
        <f>IF($A51="","",SUM('案件'!L44:O44))</f>
        <v/>
      </c>
      <c r="F51" s="30">
        <f>IF($A51="","",SUM(T51:W51))</f>
        <v/>
      </c>
      <c r="G51" s="49">
        <f>IF($A51="","",F51-E51)</f>
        <v/>
      </c>
      <c r="H51" s="32">
        <f>IF($A51="","",IF(E51&gt;0,F51/E51,"－"))</f>
        <v/>
      </c>
      <c r="I51" s="54">
        <f>IF($A51="","",IF(F51=0,"",IF(E51&lt;=0,"予定なし",IF(F51&gt;E51,"超過",IF(AND(C51&lt;&gt;"完了",C51&lt;&gt;"中止",ISNUMBER('設定'!$B$6),'設定'!$B$6&gt;0,F51/E51&gt;='設定'!$B$6),"注意","予定内")))))</f>
        <v/>
      </c>
      <c r="J51" s="31">
        <f>IF($A51="","",IF(OR(C51="完了",C51="中止"),F51,MAX(T51,N('案件'!L44))+MAX(U51,N('案件'!M44))+MAX(V51,N('案件'!N44))+MAX(W51,N('案件'!O44))))</f>
        <v/>
      </c>
      <c r="K51" s="31">
        <f>IF(OR($A51="",NOT(ISNUMBER(D51))),"",D51-E51)</f>
        <v/>
      </c>
      <c r="L51" s="30">
        <f>IF(OR($A51="",NOT(ISNUMBER(D51))),"",D51-J51)</f>
        <v/>
      </c>
      <c r="M51" s="32">
        <f>IF(K51="","",IF(D51&gt;0,K51/D51,"－"))</f>
        <v/>
      </c>
      <c r="N51" s="55">
        <f>IF(L51="","",IF(D51&gt;0,L51/D51,"－"))</f>
        <v/>
      </c>
      <c r="O51" s="50">
        <f>IF(AND(ISNUMBER(M51),ISNUMBER(N51)),(N51-M51)*100,IF($A51="","","－"))</f>
        <v/>
      </c>
      <c r="P51" s="49">
        <f>IF($A51="","",T51-N('案件'!L44))</f>
        <v/>
      </c>
      <c r="Q51" s="49">
        <f>IF($A51="","",U51-N('案件'!M44))</f>
        <v/>
      </c>
      <c r="R51" s="49">
        <f>IF($A51="","",V51-N('案件'!N44))</f>
        <v/>
      </c>
      <c r="S51" s="49">
        <f>IF($A51="","",W51-N('案件'!O44))</f>
        <v/>
      </c>
      <c r="T51" s="94">
        <f>IF($A51="","",SUMIFS('原価明細'!$K$5:$K$1504,'原価明細'!$B$5:$B$1504,$A51,'原価明細'!$D$5:$D$1504,"材料費"))</f>
        <v/>
      </c>
      <c r="U51" s="94">
        <f>IF($A51="","",SUMIFS('原価明細'!$K$5:$K$1504,'原価明細'!$B$5:$B$1504,$A51,'原価明細'!$D$5:$D$1504,"労務費"))</f>
        <v/>
      </c>
      <c r="V51" s="94">
        <f>IF($A51="","",SUMIFS('原価明細'!$K$5:$K$1504,'原価明細'!$B$5:$B$1504,$A51,'原価明細'!$D$5:$D$1504,"外注費"))</f>
        <v/>
      </c>
      <c r="W51" s="94">
        <f>IF($A51="","",SUMIFS('原価明細'!$K$5:$K$1504,'原価明細'!$B$5:$B$1504,$A51,'原価明細'!$D$5:$D$1504,"経費"))</f>
        <v/>
      </c>
      <c r="X51" s="95">
        <f>IF($A51="","",IF(ISNUMBER('案件'!G44),'案件'!G44,""))</f>
        <v/>
      </c>
      <c r="Y51" s="91">
        <f>IF($A51="",0,1)</f>
        <v/>
      </c>
    </row>
    <row r="52" ht="17" customHeight="1">
      <c r="A52" s="53">
        <f>IF('案件'!A45="","",'案件'!A45)</f>
        <v/>
      </c>
      <c r="B52" s="37">
        <f>IF($A52="","",'案件'!B45&amp;"")</f>
        <v/>
      </c>
      <c r="C52" s="53">
        <f>IF($A52="","",'案件'!H45&amp;"")</f>
        <v/>
      </c>
      <c r="D52" s="31">
        <f>IF($A52="","",IF(ISNUMBER('案件'!K45),'案件'!K45,""))</f>
        <v/>
      </c>
      <c r="E52" s="31">
        <f>IF($A52="","",SUM('案件'!L45:O45))</f>
        <v/>
      </c>
      <c r="F52" s="30">
        <f>IF($A52="","",SUM(T52:W52))</f>
        <v/>
      </c>
      <c r="G52" s="49">
        <f>IF($A52="","",F52-E52)</f>
        <v/>
      </c>
      <c r="H52" s="32">
        <f>IF($A52="","",IF(E52&gt;0,F52/E52,"－"))</f>
        <v/>
      </c>
      <c r="I52" s="54">
        <f>IF($A52="","",IF(F52=0,"",IF(E52&lt;=0,"予定なし",IF(F52&gt;E52,"超過",IF(AND(C52&lt;&gt;"完了",C52&lt;&gt;"中止",ISNUMBER('設定'!$B$6),'設定'!$B$6&gt;0,F52/E52&gt;='設定'!$B$6),"注意","予定内")))))</f>
        <v/>
      </c>
      <c r="J52" s="31">
        <f>IF($A52="","",IF(OR(C52="完了",C52="中止"),F52,MAX(T52,N('案件'!L45))+MAX(U52,N('案件'!M45))+MAX(V52,N('案件'!N45))+MAX(W52,N('案件'!O45))))</f>
        <v/>
      </c>
      <c r="K52" s="31">
        <f>IF(OR($A52="",NOT(ISNUMBER(D52))),"",D52-E52)</f>
        <v/>
      </c>
      <c r="L52" s="30">
        <f>IF(OR($A52="",NOT(ISNUMBER(D52))),"",D52-J52)</f>
        <v/>
      </c>
      <c r="M52" s="32">
        <f>IF(K52="","",IF(D52&gt;0,K52/D52,"－"))</f>
        <v/>
      </c>
      <c r="N52" s="55">
        <f>IF(L52="","",IF(D52&gt;0,L52/D52,"－"))</f>
        <v/>
      </c>
      <c r="O52" s="50">
        <f>IF(AND(ISNUMBER(M52),ISNUMBER(N52)),(N52-M52)*100,IF($A52="","","－"))</f>
        <v/>
      </c>
      <c r="P52" s="49">
        <f>IF($A52="","",T52-N('案件'!L45))</f>
        <v/>
      </c>
      <c r="Q52" s="49">
        <f>IF($A52="","",U52-N('案件'!M45))</f>
        <v/>
      </c>
      <c r="R52" s="49">
        <f>IF($A52="","",V52-N('案件'!N45))</f>
        <v/>
      </c>
      <c r="S52" s="49">
        <f>IF($A52="","",W52-N('案件'!O45))</f>
        <v/>
      </c>
      <c r="T52" s="94">
        <f>IF($A52="","",SUMIFS('原価明細'!$K$5:$K$1504,'原価明細'!$B$5:$B$1504,$A52,'原価明細'!$D$5:$D$1504,"材料費"))</f>
        <v/>
      </c>
      <c r="U52" s="94">
        <f>IF($A52="","",SUMIFS('原価明細'!$K$5:$K$1504,'原価明細'!$B$5:$B$1504,$A52,'原価明細'!$D$5:$D$1504,"労務費"))</f>
        <v/>
      </c>
      <c r="V52" s="94">
        <f>IF($A52="","",SUMIFS('原価明細'!$K$5:$K$1504,'原価明細'!$B$5:$B$1504,$A52,'原価明細'!$D$5:$D$1504,"外注費"))</f>
        <v/>
      </c>
      <c r="W52" s="94">
        <f>IF($A52="","",SUMIFS('原価明細'!$K$5:$K$1504,'原価明細'!$B$5:$B$1504,$A52,'原価明細'!$D$5:$D$1504,"経費"))</f>
        <v/>
      </c>
      <c r="X52" s="95">
        <f>IF($A52="","",IF(ISNUMBER('案件'!G45),'案件'!G45,""))</f>
        <v/>
      </c>
      <c r="Y52" s="91">
        <f>IF($A52="",0,1)</f>
        <v/>
      </c>
    </row>
    <row r="53" ht="17" customHeight="1">
      <c r="A53" s="53">
        <f>IF('案件'!A46="","",'案件'!A46)</f>
        <v/>
      </c>
      <c r="B53" s="37">
        <f>IF($A53="","",'案件'!B46&amp;"")</f>
        <v/>
      </c>
      <c r="C53" s="53">
        <f>IF($A53="","",'案件'!H46&amp;"")</f>
        <v/>
      </c>
      <c r="D53" s="31">
        <f>IF($A53="","",IF(ISNUMBER('案件'!K46),'案件'!K46,""))</f>
        <v/>
      </c>
      <c r="E53" s="31">
        <f>IF($A53="","",SUM('案件'!L46:O46))</f>
        <v/>
      </c>
      <c r="F53" s="30">
        <f>IF($A53="","",SUM(T53:W53))</f>
        <v/>
      </c>
      <c r="G53" s="49">
        <f>IF($A53="","",F53-E53)</f>
        <v/>
      </c>
      <c r="H53" s="32">
        <f>IF($A53="","",IF(E53&gt;0,F53/E53,"－"))</f>
        <v/>
      </c>
      <c r="I53" s="54">
        <f>IF($A53="","",IF(F53=0,"",IF(E53&lt;=0,"予定なし",IF(F53&gt;E53,"超過",IF(AND(C53&lt;&gt;"完了",C53&lt;&gt;"中止",ISNUMBER('設定'!$B$6),'設定'!$B$6&gt;0,F53/E53&gt;='設定'!$B$6),"注意","予定内")))))</f>
        <v/>
      </c>
      <c r="J53" s="31">
        <f>IF($A53="","",IF(OR(C53="完了",C53="中止"),F53,MAX(T53,N('案件'!L46))+MAX(U53,N('案件'!M46))+MAX(V53,N('案件'!N46))+MAX(W53,N('案件'!O46))))</f>
        <v/>
      </c>
      <c r="K53" s="31">
        <f>IF(OR($A53="",NOT(ISNUMBER(D53))),"",D53-E53)</f>
        <v/>
      </c>
      <c r="L53" s="30">
        <f>IF(OR($A53="",NOT(ISNUMBER(D53))),"",D53-J53)</f>
        <v/>
      </c>
      <c r="M53" s="32">
        <f>IF(K53="","",IF(D53&gt;0,K53/D53,"－"))</f>
        <v/>
      </c>
      <c r="N53" s="55">
        <f>IF(L53="","",IF(D53&gt;0,L53/D53,"－"))</f>
        <v/>
      </c>
      <c r="O53" s="50">
        <f>IF(AND(ISNUMBER(M53),ISNUMBER(N53)),(N53-M53)*100,IF($A53="","","－"))</f>
        <v/>
      </c>
      <c r="P53" s="49">
        <f>IF($A53="","",T53-N('案件'!L46))</f>
        <v/>
      </c>
      <c r="Q53" s="49">
        <f>IF($A53="","",U53-N('案件'!M46))</f>
        <v/>
      </c>
      <c r="R53" s="49">
        <f>IF($A53="","",V53-N('案件'!N46))</f>
        <v/>
      </c>
      <c r="S53" s="49">
        <f>IF($A53="","",W53-N('案件'!O46))</f>
        <v/>
      </c>
      <c r="T53" s="94">
        <f>IF($A53="","",SUMIFS('原価明細'!$K$5:$K$1504,'原価明細'!$B$5:$B$1504,$A53,'原価明細'!$D$5:$D$1504,"材料費"))</f>
        <v/>
      </c>
      <c r="U53" s="94">
        <f>IF($A53="","",SUMIFS('原価明細'!$K$5:$K$1504,'原価明細'!$B$5:$B$1504,$A53,'原価明細'!$D$5:$D$1504,"労務費"))</f>
        <v/>
      </c>
      <c r="V53" s="94">
        <f>IF($A53="","",SUMIFS('原価明細'!$K$5:$K$1504,'原価明細'!$B$5:$B$1504,$A53,'原価明細'!$D$5:$D$1504,"外注費"))</f>
        <v/>
      </c>
      <c r="W53" s="94">
        <f>IF($A53="","",SUMIFS('原価明細'!$K$5:$K$1504,'原価明細'!$B$5:$B$1504,$A53,'原価明細'!$D$5:$D$1504,"経費"))</f>
        <v/>
      </c>
      <c r="X53" s="95">
        <f>IF($A53="","",IF(ISNUMBER('案件'!G46),'案件'!G46,""))</f>
        <v/>
      </c>
      <c r="Y53" s="91">
        <f>IF($A53="",0,1)</f>
        <v/>
      </c>
    </row>
    <row r="54" ht="17" customHeight="1">
      <c r="A54" s="53">
        <f>IF('案件'!A47="","",'案件'!A47)</f>
        <v/>
      </c>
      <c r="B54" s="37">
        <f>IF($A54="","",'案件'!B47&amp;"")</f>
        <v/>
      </c>
      <c r="C54" s="53">
        <f>IF($A54="","",'案件'!H47&amp;"")</f>
        <v/>
      </c>
      <c r="D54" s="31">
        <f>IF($A54="","",IF(ISNUMBER('案件'!K47),'案件'!K47,""))</f>
        <v/>
      </c>
      <c r="E54" s="31">
        <f>IF($A54="","",SUM('案件'!L47:O47))</f>
        <v/>
      </c>
      <c r="F54" s="30">
        <f>IF($A54="","",SUM(T54:W54))</f>
        <v/>
      </c>
      <c r="G54" s="49">
        <f>IF($A54="","",F54-E54)</f>
        <v/>
      </c>
      <c r="H54" s="32">
        <f>IF($A54="","",IF(E54&gt;0,F54/E54,"－"))</f>
        <v/>
      </c>
      <c r="I54" s="54">
        <f>IF($A54="","",IF(F54=0,"",IF(E54&lt;=0,"予定なし",IF(F54&gt;E54,"超過",IF(AND(C54&lt;&gt;"完了",C54&lt;&gt;"中止",ISNUMBER('設定'!$B$6),'設定'!$B$6&gt;0,F54/E54&gt;='設定'!$B$6),"注意","予定内")))))</f>
        <v/>
      </c>
      <c r="J54" s="31">
        <f>IF($A54="","",IF(OR(C54="完了",C54="中止"),F54,MAX(T54,N('案件'!L47))+MAX(U54,N('案件'!M47))+MAX(V54,N('案件'!N47))+MAX(W54,N('案件'!O47))))</f>
        <v/>
      </c>
      <c r="K54" s="31">
        <f>IF(OR($A54="",NOT(ISNUMBER(D54))),"",D54-E54)</f>
        <v/>
      </c>
      <c r="L54" s="30">
        <f>IF(OR($A54="",NOT(ISNUMBER(D54))),"",D54-J54)</f>
        <v/>
      </c>
      <c r="M54" s="32">
        <f>IF(K54="","",IF(D54&gt;0,K54/D54,"－"))</f>
        <v/>
      </c>
      <c r="N54" s="55">
        <f>IF(L54="","",IF(D54&gt;0,L54/D54,"－"))</f>
        <v/>
      </c>
      <c r="O54" s="50">
        <f>IF(AND(ISNUMBER(M54),ISNUMBER(N54)),(N54-M54)*100,IF($A54="","","－"))</f>
        <v/>
      </c>
      <c r="P54" s="49">
        <f>IF($A54="","",T54-N('案件'!L47))</f>
        <v/>
      </c>
      <c r="Q54" s="49">
        <f>IF($A54="","",U54-N('案件'!M47))</f>
        <v/>
      </c>
      <c r="R54" s="49">
        <f>IF($A54="","",V54-N('案件'!N47))</f>
        <v/>
      </c>
      <c r="S54" s="49">
        <f>IF($A54="","",W54-N('案件'!O47))</f>
        <v/>
      </c>
      <c r="T54" s="94">
        <f>IF($A54="","",SUMIFS('原価明細'!$K$5:$K$1504,'原価明細'!$B$5:$B$1504,$A54,'原価明細'!$D$5:$D$1504,"材料費"))</f>
        <v/>
      </c>
      <c r="U54" s="94">
        <f>IF($A54="","",SUMIFS('原価明細'!$K$5:$K$1504,'原価明細'!$B$5:$B$1504,$A54,'原価明細'!$D$5:$D$1504,"労務費"))</f>
        <v/>
      </c>
      <c r="V54" s="94">
        <f>IF($A54="","",SUMIFS('原価明細'!$K$5:$K$1504,'原価明細'!$B$5:$B$1504,$A54,'原価明細'!$D$5:$D$1504,"外注費"))</f>
        <v/>
      </c>
      <c r="W54" s="94">
        <f>IF($A54="","",SUMIFS('原価明細'!$K$5:$K$1504,'原価明細'!$B$5:$B$1504,$A54,'原価明細'!$D$5:$D$1504,"経費"))</f>
        <v/>
      </c>
      <c r="X54" s="95">
        <f>IF($A54="","",IF(ISNUMBER('案件'!G47),'案件'!G47,""))</f>
        <v/>
      </c>
      <c r="Y54" s="91">
        <f>IF($A54="",0,1)</f>
        <v/>
      </c>
    </row>
    <row r="55" ht="17" customHeight="1">
      <c r="A55" s="53">
        <f>IF('案件'!A48="","",'案件'!A48)</f>
        <v/>
      </c>
      <c r="B55" s="37">
        <f>IF($A55="","",'案件'!B48&amp;"")</f>
        <v/>
      </c>
      <c r="C55" s="53">
        <f>IF($A55="","",'案件'!H48&amp;"")</f>
        <v/>
      </c>
      <c r="D55" s="31">
        <f>IF($A55="","",IF(ISNUMBER('案件'!K48),'案件'!K48,""))</f>
        <v/>
      </c>
      <c r="E55" s="31">
        <f>IF($A55="","",SUM('案件'!L48:O48))</f>
        <v/>
      </c>
      <c r="F55" s="30">
        <f>IF($A55="","",SUM(T55:W55))</f>
        <v/>
      </c>
      <c r="G55" s="49">
        <f>IF($A55="","",F55-E55)</f>
        <v/>
      </c>
      <c r="H55" s="32">
        <f>IF($A55="","",IF(E55&gt;0,F55/E55,"－"))</f>
        <v/>
      </c>
      <c r="I55" s="54">
        <f>IF($A55="","",IF(F55=0,"",IF(E55&lt;=0,"予定なし",IF(F55&gt;E55,"超過",IF(AND(C55&lt;&gt;"完了",C55&lt;&gt;"中止",ISNUMBER('設定'!$B$6),'設定'!$B$6&gt;0,F55/E55&gt;='設定'!$B$6),"注意","予定内")))))</f>
        <v/>
      </c>
      <c r="J55" s="31">
        <f>IF($A55="","",IF(OR(C55="完了",C55="中止"),F55,MAX(T55,N('案件'!L48))+MAX(U55,N('案件'!M48))+MAX(V55,N('案件'!N48))+MAX(W55,N('案件'!O48))))</f>
        <v/>
      </c>
      <c r="K55" s="31">
        <f>IF(OR($A55="",NOT(ISNUMBER(D55))),"",D55-E55)</f>
        <v/>
      </c>
      <c r="L55" s="30">
        <f>IF(OR($A55="",NOT(ISNUMBER(D55))),"",D55-J55)</f>
        <v/>
      </c>
      <c r="M55" s="32">
        <f>IF(K55="","",IF(D55&gt;0,K55/D55,"－"))</f>
        <v/>
      </c>
      <c r="N55" s="55">
        <f>IF(L55="","",IF(D55&gt;0,L55/D55,"－"))</f>
        <v/>
      </c>
      <c r="O55" s="50">
        <f>IF(AND(ISNUMBER(M55),ISNUMBER(N55)),(N55-M55)*100,IF($A55="","","－"))</f>
        <v/>
      </c>
      <c r="P55" s="49">
        <f>IF($A55="","",T55-N('案件'!L48))</f>
        <v/>
      </c>
      <c r="Q55" s="49">
        <f>IF($A55="","",U55-N('案件'!M48))</f>
        <v/>
      </c>
      <c r="R55" s="49">
        <f>IF($A55="","",V55-N('案件'!N48))</f>
        <v/>
      </c>
      <c r="S55" s="49">
        <f>IF($A55="","",W55-N('案件'!O48))</f>
        <v/>
      </c>
      <c r="T55" s="94">
        <f>IF($A55="","",SUMIFS('原価明細'!$K$5:$K$1504,'原価明細'!$B$5:$B$1504,$A55,'原価明細'!$D$5:$D$1504,"材料費"))</f>
        <v/>
      </c>
      <c r="U55" s="94">
        <f>IF($A55="","",SUMIFS('原価明細'!$K$5:$K$1504,'原価明細'!$B$5:$B$1504,$A55,'原価明細'!$D$5:$D$1504,"労務費"))</f>
        <v/>
      </c>
      <c r="V55" s="94">
        <f>IF($A55="","",SUMIFS('原価明細'!$K$5:$K$1504,'原価明細'!$B$5:$B$1504,$A55,'原価明細'!$D$5:$D$1504,"外注費"))</f>
        <v/>
      </c>
      <c r="W55" s="94">
        <f>IF($A55="","",SUMIFS('原価明細'!$K$5:$K$1504,'原価明細'!$B$5:$B$1504,$A55,'原価明細'!$D$5:$D$1504,"経費"))</f>
        <v/>
      </c>
      <c r="X55" s="95">
        <f>IF($A55="","",IF(ISNUMBER('案件'!G48),'案件'!G48,""))</f>
        <v/>
      </c>
      <c r="Y55" s="91">
        <f>IF($A55="",0,1)</f>
        <v/>
      </c>
    </row>
    <row r="56" ht="17" customHeight="1">
      <c r="A56" s="53">
        <f>IF('案件'!A49="","",'案件'!A49)</f>
        <v/>
      </c>
      <c r="B56" s="37">
        <f>IF($A56="","",'案件'!B49&amp;"")</f>
        <v/>
      </c>
      <c r="C56" s="53">
        <f>IF($A56="","",'案件'!H49&amp;"")</f>
        <v/>
      </c>
      <c r="D56" s="31">
        <f>IF($A56="","",IF(ISNUMBER('案件'!K49),'案件'!K49,""))</f>
        <v/>
      </c>
      <c r="E56" s="31">
        <f>IF($A56="","",SUM('案件'!L49:O49))</f>
        <v/>
      </c>
      <c r="F56" s="30">
        <f>IF($A56="","",SUM(T56:W56))</f>
        <v/>
      </c>
      <c r="G56" s="49">
        <f>IF($A56="","",F56-E56)</f>
        <v/>
      </c>
      <c r="H56" s="32">
        <f>IF($A56="","",IF(E56&gt;0,F56/E56,"－"))</f>
        <v/>
      </c>
      <c r="I56" s="54">
        <f>IF($A56="","",IF(F56=0,"",IF(E56&lt;=0,"予定なし",IF(F56&gt;E56,"超過",IF(AND(C56&lt;&gt;"完了",C56&lt;&gt;"中止",ISNUMBER('設定'!$B$6),'設定'!$B$6&gt;0,F56/E56&gt;='設定'!$B$6),"注意","予定内")))))</f>
        <v/>
      </c>
      <c r="J56" s="31">
        <f>IF($A56="","",IF(OR(C56="完了",C56="中止"),F56,MAX(T56,N('案件'!L49))+MAX(U56,N('案件'!M49))+MAX(V56,N('案件'!N49))+MAX(W56,N('案件'!O49))))</f>
        <v/>
      </c>
      <c r="K56" s="31">
        <f>IF(OR($A56="",NOT(ISNUMBER(D56))),"",D56-E56)</f>
        <v/>
      </c>
      <c r="L56" s="30">
        <f>IF(OR($A56="",NOT(ISNUMBER(D56))),"",D56-J56)</f>
        <v/>
      </c>
      <c r="M56" s="32">
        <f>IF(K56="","",IF(D56&gt;0,K56/D56,"－"))</f>
        <v/>
      </c>
      <c r="N56" s="55">
        <f>IF(L56="","",IF(D56&gt;0,L56/D56,"－"))</f>
        <v/>
      </c>
      <c r="O56" s="50">
        <f>IF(AND(ISNUMBER(M56),ISNUMBER(N56)),(N56-M56)*100,IF($A56="","","－"))</f>
        <v/>
      </c>
      <c r="P56" s="49">
        <f>IF($A56="","",T56-N('案件'!L49))</f>
        <v/>
      </c>
      <c r="Q56" s="49">
        <f>IF($A56="","",U56-N('案件'!M49))</f>
        <v/>
      </c>
      <c r="R56" s="49">
        <f>IF($A56="","",V56-N('案件'!N49))</f>
        <v/>
      </c>
      <c r="S56" s="49">
        <f>IF($A56="","",W56-N('案件'!O49))</f>
        <v/>
      </c>
      <c r="T56" s="94">
        <f>IF($A56="","",SUMIFS('原価明細'!$K$5:$K$1504,'原価明細'!$B$5:$B$1504,$A56,'原価明細'!$D$5:$D$1504,"材料費"))</f>
        <v/>
      </c>
      <c r="U56" s="94">
        <f>IF($A56="","",SUMIFS('原価明細'!$K$5:$K$1504,'原価明細'!$B$5:$B$1504,$A56,'原価明細'!$D$5:$D$1504,"労務費"))</f>
        <v/>
      </c>
      <c r="V56" s="94">
        <f>IF($A56="","",SUMIFS('原価明細'!$K$5:$K$1504,'原価明細'!$B$5:$B$1504,$A56,'原価明細'!$D$5:$D$1504,"外注費"))</f>
        <v/>
      </c>
      <c r="W56" s="94">
        <f>IF($A56="","",SUMIFS('原価明細'!$K$5:$K$1504,'原価明細'!$B$5:$B$1504,$A56,'原価明細'!$D$5:$D$1504,"経費"))</f>
        <v/>
      </c>
      <c r="X56" s="95">
        <f>IF($A56="","",IF(ISNUMBER('案件'!G49),'案件'!G49,""))</f>
        <v/>
      </c>
      <c r="Y56" s="91">
        <f>IF($A56="",0,1)</f>
        <v/>
      </c>
    </row>
    <row r="57" ht="17" customHeight="1">
      <c r="A57" s="53">
        <f>IF('案件'!A50="","",'案件'!A50)</f>
        <v/>
      </c>
      <c r="B57" s="37">
        <f>IF($A57="","",'案件'!B50&amp;"")</f>
        <v/>
      </c>
      <c r="C57" s="53">
        <f>IF($A57="","",'案件'!H50&amp;"")</f>
        <v/>
      </c>
      <c r="D57" s="31">
        <f>IF($A57="","",IF(ISNUMBER('案件'!K50),'案件'!K50,""))</f>
        <v/>
      </c>
      <c r="E57" s="31">
        <f>IF($A57="","",SUM('案件'!L50:O50))</f>
        <v/>
      </c>
      <c r="F57" s="30">
        <f>IF($A57="","",SUM(T57:W57))</f>
        <v/>
      </c>
      <c r="G57" s="49">
        <f>IF($A57="","",F57-E57)</f>
        <v/>
      </c>
      <c r="H57" s="32">
        <f>IF($A57="","",IF(E57&gt;0,F57/E57,"－"))</f>
        <v/>
      </c>
      <c r="I57" s="54">
        <f>IF($A57="","",IF(F57=0,"",IF(E57&lt;=0,"予定なし",IF(F57&gt;E57,"超過",IF(AND(C57&lt;&gt;"完了",C57&lt;&gt;"中止",ISNUMBER('設定'!$B$6),'設定'!$B$6&gt;0,F57/E57&gt;='設定'!$B$6),"注意","予定内")))))</f>
        <v/>
      </c>
      <c r="J57" s="31">
        <f>IF($A57="","",IF(OR(C57="完了",C57="中止"),F57,MAX(T57,N('案件'!L50))+MAX(U57,N('案件'!M50))+MAX(V57,N('案件'!N50))+MAX(W57,N('案件'!O50))))</f>
        <v/>
      </c>
      <c r="K57" s="31">
        <f>IF(OR($A57="",NOT(ISNUMBER(D57))),"",D57-E57)</f>
        <v/>
      </c>
      <c r="L57" s="30">
        <f>IF(OR($A57="",NOT(ISNUMBER(D57))),"",D57-J57)</f>
        <v/>
      </c>
      <c r="M57" s="32">
        <f>IF(K57="","",IF(D57&gt;0,K57/D57,"－"))</f>
        <v/>
      </c>
      <c r="N57" s="55">
        <f>IF(L57="","",IF(D57&gt;0,L57/D57,"－"))</f>
        <v/>
      </c>
      <c r="O57" s="50">
        <f>IF(AND(ISNUMBER(M57),ISNUMBER(N57)),(N57-M57)*100,IF($A57="","","－"))</f>
        <v/>
      </c>
      <c r="P57" s="49">
        <f>IF($A57="","",T57-N('案件'!L50))</f>
        <v/>
      </c>
      <c r="Q57" s="49">
        <f>IF($A57="","",U57-N('案件'!M50))</f>
        <v/>
      </c>
      <c r="R57" s="49">
        <f>IF($A57="","",V57-N('案件'!N50))</f>
        <v/>
      </c>
      <c r="S57" s="49">
        <f>IF($A57="","",W57-N('案件'!O50))</f>
        <v/>
      </c>
      <c r="T57" s="94">
        <f>IF($A57="","",SUMIFS('原価明細'!$K$5:$K$1504,'原価明細'!$B$5:$B$1504,$A57,'原価明細'!$D$5:$D$1504,"材料費"))</f>
        <v/>
      </c>
      <c r="U57" s="94">
        <f>IF($A57="","",SUMIFS('原価明細'!$K$5:$K$1504,'原価明細'!$B$5:$B$1504,$A57,'原価明細'!$D$5:$D$1504,"労務費"))</f>
        <v/>
      </c>
      <c r="V57" s="94">
        <f>IF($A57="","",SUMIFS('原価明細'!$K$5:$K$1504,'原価明細'!$B$5:$B$1504,$A57,'原価明細'!$D$5:$D$1504,"外注費"))</f>
        <v/>
      </c>
      <c r="W57" s="94">
        <f>IF($A57="","",SUMIFS('原価明細'!$K$5:$K$1504,'原価明細'!$B$5:$B$1504,$A57,'原価明細'!$D$5:$D$1504,"経費"))</f>
        <v/>
      </c>
      <c r="X57" s="95">
        <f>IF($A57="","",IF(ISNUMBER('案件'!G50),'案件'!G50,""))</f>
        <v/>
      </c>
      <c r="Y57" s="91">
        <f>IF($A57="",0,1)</f>
        <v/>
      </c>
    </row>
    <row r="58" ht="17" customHeight="1">
      <c r="A58" s="53">
        <f>IF('案件'!A51="","",'案件'!A51)</f>
        <v/>
      </c>
      <c r="B58" s="37">
        <f>IF($A58="","",'案件'!B51&amp;"")</f>
        <v/>
      </c>
      <c r="C58" s="53">
        <f>IF($A58="","",'案件'!H51&amp;"")</f>
        <v/>
      </c>
      <c r="D58" s="31">
        <f>IF($A58="","",IF(ISNUMBER('案件'!K51),'案件'!K51,""))</f>
        <v/>
      </c>
      <c r="E58" s="31">
        <f>IF($A58="","",SUM('案件'!L51:O51))</f>
        <v/>
      </c>
      <c r="F58" s="30">
        <f>IF($A58="","",SUM(T58:W58))</f>
        <v/>
      </c>
      <c r="G58" s="49">
        <f>IF($A58="","",F58-E58)</f>
        <v/>
      </c>
      <c r="H58" s="32">
        <f>IF($A58="","",IF(E58&gt;0,F58/E58,"－"))</f>
        <v/>
      </c>
      <c r="I58" s="54">
        <f>IF($A58="","",IF(F58=0,"",IF(E58&lt;=0,"予定なし",IF(F58&gt;E58,"超過",IF(AND(C58&lt;&gt;"完了",C58&lt;&gt;"中止",ISNUMBER('設定'!$B$6),'設定'!$B$6&gt;0,F58/E58&gt;='設定'!$B$6),"注意","予定内")))))</f>
        <v/>
      </c>
      <c r="J58" s="31">
        <f>IF($A58="","",IF(OR(C58="完了",C58="中止"),F58,MAX(T58,N('案件'!L51))+MAX(U58,N('案件'!M51))+MAX(V58,N('案件'!N51))+MAX(W58,N('案件'!O51))))</f>
        <v/>
      </c>
      <c r="K58" s="31">
        <f>IF(OR($A58="",NOT(ISNUMBER(D58))),"",D58-E58)</f>
        <v/>
      </c>
      <c r="L58" s="30">
        <f>IF(OR($A58="",NOT(ISNUMBER(D58))),"",D58-J58)</f>
        <v/>
      </c>
      <c r="M58" s="32">
        <f>IF(K58="","",IF(D58&gt;0,K58/D58,"－"))</f>
        <v/>
      </c>
      <c r="N58" s="55">
        <f>IF(L58="","",IF(D58&gt;0,L58/D58,"－"))</f>
        <v/>
      </c>
      <c r="O58" s="50">
        <f>IF(AND(ISNUMBER(M58),ISNUMBER(N58)),(N58-M58)*100,IF($A58="","","－"))</f>
        <v/>
      </c>
      <c r="P58" s="49">
        <f>IF($A58="","",T58-N('案件'!L51))</f>
        <v/>
      </c>
      <c r="Q58" s="49">
        <f>IF($A58="","",U58-N('案件'!M51))</f>
        <v/>
      </c>
      <c r="R58" s="49">
        <f>IF($A58="","",V58-N('案件'!N51))</f>
        <v/>
      </c>
      <c r="S58" s="49">
        <f>IF($A58="","",W58-N('案件'!O51))</f>
        <v/>
      </c>
      <c r="T58" s="94">
        <f>IF($A58="","",SUMIFS('原価明細'!$K$5:$K$1504,'原価明細'!$B$5:$B$1504,$A58,'原価明細'!$D$5:$D$1504,"材料費"))</f>
        <v/>
      </c>
      <c r="U58" s="94">
        <f>IF($A58="","",SUMIFS('原価明細'!$K$5:$K$1504,'原価明細'!$B$5:$B$1504,$A58,'原価明細'!$D$5:$D$1504,"労務費"))</f>
        <v/>
      </c>
      <c r="V58" s="94">
        <f>IF($A58="","",SUMIFS('原価明細'!$K$5:$K$1504,'原価明細'!$B$5:$B$1504,$A58,'原価明細'!$D$5:$D$1504,"外注費"))</f>
        <v/>
      </c>
      <c r="W58" s="94">
        <f>IF($A58="","",SUMIFS('原価明細'!$K$5:$K$1504,'原価明細'!$B$5:$B$1504,$A58,'原価明細'!$D$5:$D$1504,"経費"))</f>
        <v/>
      </c>
      <c r="X58" s="95">
        <f>IF($A58="","",IF(ISNUMBER('案件'!G51),'案件'!G51,""))</f>
        <v/>
      </c>
      <c r="Y58" s="91">
        <f>IF($A58="",0,1)</f>
        <v/>
      </c>
    </row>
    <row r="59" ht="17" customHeight="1">
      <c r="A59" s="53">
        <f>IF('案件'!A52="","",'案件'!A52)</f>
        <v/>
      </c>
      <c r="B59" s="37">
        <f>IF($A59="","",'案件'!B52&amp;"")</f>
        <v/>
      </c>
      <c r="C59" s="53">
        <f>IF($A59="","",'案件'!H52&amp;"")</f>
        <v/>
      </c>
      <c r="D59" s="31">
        <f>IF($A59="","",IF(ISNUMBER('案件'!K52),'案件'!K52,""))</f>
        <v/>
      </c>
      <c r="E59" s="31">
        <f>IF($A59="","",SUM('案件'!L52:O52))</f>
        <v/>
      </c>
      <c r="F59" s="30">
        <f>IF($A59="","",SUM(T59:W59))</f>
        <v/>
      </c>
      <c r="G59" s="49">
        <f>IF($A59="","",F59-E59)</f>
        <v/>
      </c>
      <c r="H59" s="32">
        <f>IF($A59="","",IF(E59&gt;0,F59/E59,"－"))</f>
        <v/>
      </c>
      <c r="I59" s="54">
        <f>IF($A59="","",IF(F59=0,"",IF(E59&lt;=0,"予定なし",IF(F59&gt;E59,"超過",IF(AND(C59&lt;&gt;"完了",C59&lt;&gt;"中止",ISNUMBER('設定'!$B$6),'設定'!$B$6&gt;0,F59/E59&gt;='設定'!$B$6),"注意","予定内")))))</f>
        <v/>
      </c>
      <c r="J59" s="31">
        <f>IF($A59="","",IF(OR(C59="完了",C59="中止"),F59,MAX(T59,N('案件'!L52))+MAX(U59,N('案件'!M52))+MAX(V59,N('案件'!N52))+MAX(W59,N('案件'!O52))))</f>
        <v/>
      </c>
      <c r="K59" s="31">
        <f>IF(OR($A59="",NOT(ISNUMBER(D59))),"",D59-E59)</f>
        <v/>
      </c>
      <c r="L59" s="30">
        <f>IF(OR($A59="",NOT(ISNUMBER(D59))),"",D59-J59)</f>
        <v/>
      </c>
      <c r="M59" s="32">
        <f>IF(K59="","",IF(D59&gt;0,K59/D59,"－"))</f>
        <v/>
      </c>
      <c r="N59" s="55">
        <f>IF(L59="","",IF(D59&gt;0,L59/D59,"－"))</f>
        <v/>
      </c>
      <c r="O59" s="50">
        <f>IF(AND(ISNUMBER(M59),ISNUMBER(N59)),(N59-M59)*100,IF($A59="","","－"))</f>
        <v/>
      </c>
      <c r="P59" s="49">
        <f>IF($A59="","",T59-N('案件'!L52))</f>
        <v/>
      </c>
      <c r="Q59" s="49">
        <f>IF($A59="","",U59-N('案件'!M52))</f>
        <v/>
      </c>
      <c r="R59" s="49">
        <f>IF($A59="","",V59-N('案件'!N52))</f>
        <v/>
      </c>
      <c r="S59" s="49">
        <f>IF($A59="","",W59-N('案件'!O52))</f>
        <v/>
      </c>
      <c r="T59" s="94">
        <f>IF($A59="","",SUMIFS('原価明細'!$K$5:$K$1504,'原価明細'!$B$5:$B$1504,$A59,'原価明細'!$D$5:$D$1504,"材料費"))</f>
        <v/>
      </c>
      <c r="U59" s="94">
        <f>IF($A59="","",SUMIFS('原価明細'!$K$5:$K$1504,'原価明細'!$B$5:$B$1504,$A59,'原価明細'!$D$5:$D$1504,"労務費"))</f>
        <v/>
      </c>
      <c r="V59" s="94">
        <f>IF($A59="","",SUMIFS('原価明細'!$K$5:$K$1504,'原価明細'!$B$5:$B$1504,$A59,'原価明細'!$D$5:$D$1504,"外注費"))</f>
        <v/>
      </c>
      <c r="W59" s="94">
        <f>IF($A59="","",SUMIFS('原価明細'!$K$5:$K$1504,'原価明細'!$B$5:$B$1504,$A59,'原価明細'!$D$5:$D$1504,"経費"))</f>
        <v/>
      </c>
      <c r="X59" s="95">
        <f>IF($A59="","",IF(ISNUMBER('案件'!G52),'案件'!G52,""))</f>
        <v/>
      </c>
      <c r="Y59" s="91">
        <f>IF($A59="",0,1)</f>
        <v/>
      </c>
    </row>
    <row r="60" ht="17" customHeight="1">
      <c r="A60" s="53">
        <f>IF('案件'!A53="","",'案件'!A53)</f>
        <v/>
      </c>
      <c r="B60" s="37">
        <f>IF($A60="","",'案件'!B53&amp;"")</f>
        <v/>
      </c>
      <c r="C60" s="53">
        <f>IF($A60="","",'案件'!H53&amp;"")</f>
        <v/>
      </c>
      <c r="D60" s="31">
        <f>IF($A60="","",IF(ISNUMBER('案件'!K53),'案件'!K53,""))</f>
        <v/>
      </c>
      <c r="E60" s="31">
        <f>IF($A60="","",SUM('案件'!L53:O53))</f>
        <v/>
      </c>
      <c r="F60" s="30">
        <f>IF($A60="","",SUM(T60:W60))</f>
        <v/>
      </c>
      <c r="G60" s="49">
        <f>IF($A60="","",F60-E60)</f>
        <v/>
      </c>
      <c r="H60" s="32">
        <f>IF($A60="","",IF(E60&gt;0,F60/E60,"－"))</f>
        <v/>
      </c>
      <c r="I60" s="54">
        <f>IF($A60="","",IF(F60=0,"",IF(E60&lt;=0,"予定なし",IF(F60&gt;E60,"超過",IF(AND(C60&lt;&gt;"完了",C60&lt;&gt;"中止",ISNUMBER('設定'!$B$6),'設定'!$B$6&gt;0,F60/E60&gt;='設定'!$B$6),"注意","予定内")))))</f>
        <v/>
      </c>
      <c r="J60" s="31">
        <f>IF($A60="","",IF(OR(C60="完了",C60="中止"),F60,MAX(T60,N('案件'!L53))+MAX(U60,N('案件'!M53))+MAX(V60,N('案件'!N53))+MAX(W60,N('案件'!O53))))</f>
        <v/>
      </c>
      <c r="K60" s="31">
        <f>IF(OR($A60="",NOT(ISNUMBER(D60))),"",D60-E60)</f>
        <v/>
      </c>
      <c r="L60" s="30">
        <f>IF(OR($A60="",NOT(ISNUMBER(D60))),"",D60-J60)</f>
        <v/>
      </c>
      <c r="M60" s="32">
        <f>IF(K60="","",IF(D60&gt;0,K60/D60,"－"))</f>
        <v/>
      </c>
      <c r="N60" s="55">
        <f>IF(L60="","",IF(D60&gt;0,L60/D60,"－"))</f>
        <v/>
      </c>
      <c r="O60" s="50">
        <f>IF(AND(ISNUMBER(M60),ISNUMBER(N60)),(N60-M60)*100,IF($A60="","","－"))</f>
        <v/>
      </c>
      <c r="P60" s="49">
        <f>IF($A60="","",T60-N('案件'!L53))</f>
        <v/>
      </c>
      <c r="Q60" s="49">
        <f>IF($A60="","",U60-N('案件'!M53))</f>
        <v/>
      </c>
      <c r="R60" s="49">
        <f>IF($A60="","",V60-N('案件'!N53))</f>
        <v/>
      </c>
      <c r="S60" s="49">
        <f>IF($A60="","",W60-N('案件'!O53))</f>
        <v/>
      </c>
      <c r="T60" s="94">
        <f>IF($A60="","",SUMIFS('原価明細'!$K$5:$K$1504,'原価明細'!$B$5:$B$1504,$A60,'原価明細'!$D$5:$D$1504,"材料費"))</f>
        <v/>
      </c>
      <c r="U60" s="94">
        <f>IF($A60="","",SUMIFS('原価明細'!$K$5:$K$1504,'原価明細'!$B$5:$B$1504,$A60,'原価明細'!$D$5:$D$1504,"労務費"))</f>
        <v/>
      </c>
      <c r="V60" s="94">
        <f>IF($A60="","",SUMIFS('原価明細'!$K$5:$K$1504,'原価明細'!$B$5:$B$1504,$A60,'原価明細'!$D$5:$D$1504,"外注費"))</f>
        <v/>
      </c>
      <c r="W60" s="94">
        <f>IF($A60="","",SUMIFS('原価明細'!$K$5:$K$1504,'原価明細'!$B$5:$B$1504,$A60,'原価明細'!$D$5:$D$1504,"経費"))</f>
        <v/>
      </c>
      <c r="X60" s="95">
        <f>IF($A60="","",IF(ISNUMBER('案件'!G53),'案件'!G53,""))</f>
        <v/>
      </c>
      <c r="Y60" s="91">
        <f>IF($A60="",0,1)</f>
        <v/>
      </c>
    </row>
    <row r="61" ht="17" customHeight="1">
      <c r="A61" s="53">
        <f>IF('案件'!A54="","",'案件'!A54)</f>
        <v/>
      </c>
      <c r="B61" s="37">
        <f>IF($A61="","",'案件'!B54&amp;"")</f>
        <v/>
      </c>
      <c r="C61" s="53">
        <f>IF($A61="","",'案件'!H54&amp;"")</f>
        <v/>
      </c>
      <c r="D61" s="31">
        <f>IF($A61="","",IF(ISNUMBER('案件'!K54),'案件'!K54,""))</f>
        <v/>
      </c>
      <c r="E61" s="31">
        <f>IF($A61="","",SUM('案件'!L54:O54))</f>
        <v/>
      </c>
      <c r="F61" s="30">
        <f>IF($A61="","",SUM(T61:W61))</f>
        <v/>
      </c>
      <c r="G61" s="49">
        <f>IF($A61="","",F61-E61)</f>
        <v/>
      </c>
      <c r="H61" s="32">
        <f>IF($A61="","",IF(E61&gt;0,F61/E61,"－"))</f>
        <v/>
      </c>
      <c r="I61" s="54">
        <f>IF($A61="","",IF(F61=0,"",IF(E61&lt;=0,"予定なし",IF(F61&gt;E61,"超過",IF(AND(C61&lt;&gt;"完了",C61&lt;&gt;"中止",ISNUMBER('設定'!$B$6),'設定'!$B$6&gt;0,F61/E61&gt;='設定'!$B$6),"注意","予定内")))))</f>
        <v/>
      </c>
      <c r="J61" s="31">
        <f>IF($A61="","",IF(OR(C61="完了",C61="中止"),F61,MAX(T61,N('案件'!L54))+MAX(U61,N('案件'!M54))+MAX(V61,N('案件'!N54))+MAX(W61,N('案件'!O54))))</f>
        <v/>
      </c>
      <c r="K61" s="31">
        <f>IF(OR($A61="",NOT(ISNUMBER(D61))),"",D61-E61)</f>
        <v/>
      </c>
      <c r="L61" s="30">
        <f>IF(OR($A61="",NOT(ISNUMBER(D61))),"",D61-J61)</f>
        <v/>
      </c>
      <c r="M61" s="32">
        <f>IF(K61="","",IF(D61&gt;0,K61/D61,"－"))</f>
        <v/>
      </c>
      <c r="N61" s="55">
        <f>IF(L61="","",IF(D61&gt;0,L61/D61,"－"))</f>
        <v/>
      </c>
      <c r="O61" s="50">
        <f>IF(AND(ISNUMBER(M61),ISNUMBER(N61)),(N61-M61)*100,IF($A61="","","－"))</f>
        <v/>
      </c>
      <c r="P61" s="49">
        <f>IF($A61="","",T61-N('案件'!L54))</f>
        <v/>
      </c>
      <c r="Q61" s="49">
        <f>IF($A61="","",U61-N('案件'!M54))</f>
        <v/>
      </c>
      <c r="R61" s="49">
        <f>IF($A61="","",V61-N('案件'!N54))</f>
        <v/>
      </c>
      <c r="S61" s="49">
        <f>IF($A61="","",W61-N('案件'!O54))</f>
        <v/>
      </c>
      <c r="T61" s="94">
        <f>IF($A61="","",SUMIFS('原価明細'!$K$5:$K$1504,'原価明細'!$B$5:$B$1504,$A61,'原価明細'!$D$5:$D$1504,"材料費"))</f>
        <v/>
      </c>
      <c r="U61" s="94">
        <f>IF($A61="","",SUMIFS('原価明細'!$K$5:$K$1504,'原価明細'!$B$5:$B$1504,$A61,'原価明細'!$D$5:$D$1504,"労務費"))</f>
        <v/>
      </c>
      <c r="V61" s="94">
        <f>IF($A61="","",SUMIFS('原価明細'!$K$5:$K$1504,'原価明細'!$B$5:$B$1504,$A61,'原価明細'!$D$5:$D$1504,"外注費"))</f>
        <v/>
      </c>
      <c r="W61" s="94">
        <f>IF($A61="","",SUMIFS('原価明細'!$K$5:$K$1504,'原価明細'!$B$5:$B$1504,$A61,'原価明細'!$D$5:$D$1504,"経費"))</f>
        <v/>
      </c>
      <c r="X61" s="95">
        <f>IF($A61="","",IF(ISNUMBER('案件'!G54),'案件'!G54,""))</f>
        <v/>
      </c>
      <c r="Y61" s="91">
        <f>IF($A61="",0,1)</f>
        <v/>
      </c>
    </row>
    <row r="62" ht="17" customHeight="1">
      <c r="A62" s="53">
        <f>IF('案件'!A55="","",'案件'!A55)</f>
        <v/>
      </c>
      <c r="B62" s="37">
        <f>IF($A62="","",'案件'!B55&amp;"")</f>
        <v/>
      </c>
      <c r="C62" s="53">
        <f>IF($A62="","",'案件'!H55&amp;"")</f>
        <v/>
      </c>
      <c r="D62" s="31">
        <f>IF($A62="","",IF(ISNUMBER('案件'!K55),'案件'!K55,""))</f>
        <v/>
      </c>
      <c r="E62" s="31">
        <f>IF($A62="","",SUM('案件'!L55:O55))</f>
        <v/>
      </c>
      <c r="F62" s="30">
        <f>IF($A62="","",SUM(T62:W62))</f>
        <v/>
      </c>
      <c r="G62" s="49">
        <f>IF($A62="","",F62-E62)</f>
        <v/>
      </c>
      <c r="H62" s="32">
        <f>IF($A62="","",IF(E62&gt;0,F62/E62,"－"))</f>
        <v/>
      </c>
      <c r="I62" s="54">
        <f>IF($A62="","",IF(F62=0,"",IF(E62&lt;=0,"予定なし",IF(F62&gt;E62,"超過",IF(AND(C62&lt;&gt;"完了",C62&lt;&gt;"中止",ISNUMBER('設定'!$B$6),'設定'!$B$6&gt;0,F62/E62&gt;='設定'!$B$6),"注意","予定内")))))</f>
        <v/>
      </c>
      <c r="J62" s="31">
        <f>IF($A62="","",IF(OR(C62="完了",C62="中止"),F62,MAX(T62,N('案件'!L55))+MAX(U62,N('案件'!M55))+MAX(V62,N('案件'!N55))+MAX(W62,N('案件'!O55))))</f>
        <v/>
      </c>
      <c r="K62" s="31">
        <f>IF(OR($A62="",NOT(ISNUMBER(D62))),"",D62-E62)</f>
        <v/>
      </c>
      <c r="L62" s="30">
        <f>IF(OR($A62="",NOT(ISNUMBER(D62))),"",D62-J62)</f>
        <v/>
      </c>
      <c r="M62" s="32">
        <f>IF(K62="","",IF(D62&gt;0,K62/D62,"－"))</f>
        <v/>
      </c>
      <c r="N62" s="55">
        <f>IF(L62="","",IF(D62&gt;0,L62/D62,"－"))</f>
        <v/>
      </c>
      <c r="O62" s="50">
        <f>IF(AND(ISNUMBER(M62),ISNUMBER(N62)),(N62-M62)*100,IF($A62="","","－"))</f>
        <v/>
      </c>
      <c r="P62" s="49">
        <f>IF($A62="","",T62-N('案件'!L55))</f>
        <v/>
      </c>
      <c r="Q62" s="49">
        <f>IF($A62="","",U62-N('案件'!M55))</f>
        <v/>
      </c>
      <c r="R62" s="49">
        <f>IF($A62="","",V62-N('案件'!N55))</f>
        <v/>
      </c>
      <c r="S62" s="49">
        <f>IF($A62="","",W62-N('案件'!O55))</f>
        <v/>
      </c>
      <c r="T62" s="94">
        <f>IF($A62="","",SUMIFS('原価明細'!$K$5:$K$1504,'原価明細'!$B$5:$B$1504,$A62,'原価明細'!$D$5:$D$1504,"材料費"))</f>
        <v/>
      </c>
      <c r="U62" s="94">
        <f>IF($A62="","",SUMIFS('原価明細'!$K$5:$K$1504,'原価明細'!$B$5:$B$1504,$A62,'原価明細'!$D$5:$D$1504,"労務費"))</f>
        <v/>
      </c>
      <c r="V62" s="94">
        <f>IF($A62="","",SUMIFS('原価明細'!$K$5:$K$1504,'原価明細'!$B$5:$B$1504,$A62,'原価明細'!$D$5:$D$1504,"外注費"))</f>
        <v/>
      </c>
      <c r="W62" s="94">
        <f>IF($A62="","",SUMIFS('原価明細'!$K$5:$K$1504,'原価明細'!$B$5:$B$1504,$A62,'原価明細'!$D$5:$D$1504,"経費"))</f>
        <v/>
      </c>
      <c r="X62" s="95">
        <f>IF($A62="","",IF(ISNUMBER('案件'!G55),'案件'!G55,""))</f>
        <v/>
      </c>
      <c r="Y62" s="91">
        <f>IF($A62="",0,1)</f>
        <v/>
      </c>
    </row>
    <row r="63" ht="17" customHeight="1">
      <c r="A63" s="53">
        <f>IF('案件'!A56="","",'案件'!A56)</f>
        <v/>
      </c>
      <c r="B63" s="37">
        <f>IF($A63="","",'案件'!B56&amp;"")</f>
        <v/>
      </c>
      <c r="C63" s="53">
        <f>IF($A63="","",'案件'!H56&amp;"")</f>
        <v/>
      </c>
      <c r="D63" s="31">
        <f>IF($A63="","",IF(ISNUMBER('案件'!K56),'案件'!K56,""))</f>
        <v/>
      </c>
      <c r="E63" s="31">
        <f>IF($A63="","",SUM('案件'!L56:O56))</f>
        <v/>
      </c>
      <c r="F63" s="30">
        <f>IF($A63="","",SUM(T63:W63))</f>
        <v/>
      </c>
      <c r="G63" s="49">
        <f>IF($A63="","",F63-E63)</f>
        <v/>
      </c>
      <c r="H63" s="32">
        <f>IF($A63="","",IF(E63&gt;0,F63/E63,"－"))</f>
        <v/>
      </c>
      <c r="I63" s="54">
        <f>IF($A63="","",IF(F63=0,"",IF(E63&lt;=0,"予定なし",IF(F63&gt;E63,"超過",IF(AND(C63&lt;&gt;"完了",C63&lt;&gt;"中止",ISNUMBER('設定'!$B$6),'設定'!$B$6&gt;0,F63/E63&gt;='設定'!$B$6),"注意","予定内")))))</f>
        <v/>
      </c>
      <c r="J63" s="31">
        <f>IF($A63="","",IF(OR(C63="完了",C63="中止"),F63,MAX(T63,N('案件'!L56))+MAX(U63,N('案件'!M56))+MAX(V63,N('案件'!N56))+MAX(W63,N('案件'!O56))))</f>
        <v/>
      </c>
      <c r="K63" s="31">
        <f>IF(OR($A63="",NOT(ISNUMBER(D63))),"",D63-E63)</f>
        <v/>
      </c>
      <c r="L63" s="30">
        <f>IF(OR($A63="",NOT(ISNUMBER(D63))),"",D63-J63)</f>
        <v/>
      </c>
      <c r="M63" s="32">
        <f>IF(K63="","",IF(D63&gt;0,K63/D63,"－"))</f>
        <v/>
      </c>
      <c r="N63" s="55">
        <f>IF(L63="","",IF(D63&gt;0,L63/D63,"－"))</f>
        <v/>
      </c>
      <c r="O63" s="50">
        <f>IF(AND(ISNUMBER(M63),ISNUMBER(N63)),(N63-M63)*100,IF($A63="","","－"))</f>
        <v/>
      </c>
      <c r="P63" s="49">
        <f>IF($A63="","",T63-N('案件'!L56))</f>
        <v/>
      </c>
      <c r="Q63" s="49">
        <f>IF($A63="","",U63-N('案件'!M56))</f>
        <v/>
      </c>
      <c r="R63" s="49">
        <f>IF($A63="","",V63-N('案件'!N56))</f>
        <v/>
      </c>
      <c r="S63" s="49">
        <f>IF($A63="","",W63-N('案件'!O56))</f>
        <v/>
      </c>
      <c r="T63" s="94">
        <f>IF($A63="","",SUMIFS('原価明細'!$K$5:$K$1504,'原価明細'!$B$5:$B$1504,$A63,'原価明細'!$D$5:$D$1504,"材料費"))</f>
        <v/>
      </c>
      <c r="U63" s="94">
        <f>IF($A63="","",SUMIFS('原価明細'!$K$5:$K$1504,'原価明細'!$B$5:$B$1504,$A63,'原価明細'!$D$5:$D$1504,"労務費"))</f>
        <v/>
      </c>
      <c r="V63" s="94">
        <f>IF($A63="","",SUMIFS('原価明細'!$K$5:$K$1504,'原価明細'!$B$5:$B$1504,$A63,'原価明細'!$D$5:$D$1504,"外注費"))</f>
        <v/>
      </c>
      <c r="W63" s="94">
        <f>IF($A63="","",SUMIFS('原価明細'!$K$5:$K$1504,'原価明細'!$B$5:$B$1504,$A63,'原価明細'!$D$5:$D$1504,"経費"))</f>
        <v/>
      </c>
      <c r="X63" s="95">
        <f>IF($A63="","",IF(ISNUMBER('案件'!G56),'案件'!G56,""))</f>
        <v/>
      </c>
      <c r="Y63" s="91">
        <f>IF($A63="",0,1)</f>
        <v/>
      </c>
    </row>
    <row r="64" ht="17" customHeight="1">
      <c r="A64" s="53">
        <f>IF('案件'!A57="","",'案件'!A57)</f>
        <v/>
      </c>
      <c r="B64" s="37">
        <f>IF($A64="","",'案件'!B57&amp;"")</f>
        <v/>
      </c>
      <c r="C64" s="53">
        <f>IF($A64="","",'案件'!H57&amp;"")</f>
        <v/>
      </c>
      <c r="D64" s="31">
        <f>IF($A64="","",IF(ISNUMBER('案件'!K57),'案件'!K57,""))</f>
        <v/>
      </c>
      <c r="E64" s="31">
        <f>IF($A64="","",SUM('案件'!L57:O57))</f>
        <v/>
      </c>
      <c r="F64" s="30">
        <f>IF($A64="","",SUM(T64:W64))</f>
        <v/>
      </c>
      <c r="G64" s="49">
        <f>IF($A64="","",F64-E64)</f>
        <v/>
      </c>
      <c r="H64" s="32">
        <f>IF($A64="","",IF(E64&gt;0,F64/E64,"－"))</f>
        <v/>
      </c>
      <c r="I64" s="54">
        <f>IF($A64="","",IF(F64=0,"",IF(E64&lt;=0,"予定なし",IF(F64&gt;E64,"超過",IF(AND(C64&lt;&gt;"完了",C64&lt;&gt;"中止",ISNUMBER('設定'!$B$6),'設定'!$B$6&gt;0,F64/E64&gt;='設定'!$B$6),"注意","予定内")))))</f>
        <v/>
      </c>
      <c r="J64" s="31">
        <f>IF($A64="","",IF(OR(C64="完了",C64="中止"),F64,MAX(T64,N('案件'!L57))+MAX(U64,N('案件'!M57))+MAX(V64,N('案件'!N57))+MAX(W64,N('案件'!O57))))</f>
        <v/>
      </c>
      <c r="K64" s="31">
        <f>IF(OR($A64="",NOT(ISNUMBER(D64))),"",D64-E64)</f>
        <v/>
      </c>
      <c r="L64" s="30">
        <f>IF(OR($A64="",NOT(ISNUMBER(D64))),"",D64-J64)</f>
        <v/>
      </c>
      <c r="M64" s="32">
        <f>IF(K64="","",IF(D64&gt;0,K64/D64,"－"))</f>
        <v/>
      </c>
      <c r="N64" s="55">
        <f>IF(L64="","",IF(D64&gt;0,L64/D64,"－"))</f>
        <v/>
      </c>
      <c r="O64" s="50">
        <f>IF(AND(ISNUMBER(M64),ISNUMBER(N64)),(N64-M64)*100,IF($A64="","","－"))</f>
        <v/>
      </c>
      <c r="P64" s="49">
        <f>IF($A64="","",T64-N('案件'!L57))</f>
        <v/>
      </c>
      <c r="Q64" s="49">
        <f>IF($A64="","",U64-N('案件'!M57))</f>
        <v/>
      </c>
      <c r="R64" s="49">
        <f>IF($A64="","",V64-N('案件'!N57))</f>
        <v/>
      </c>
      <c r="S64" s="49">
        <f>IF($A64="","",W64-N('案件'!O57))</f>
        <v/>
      </c>
      <c r="T64" s="94">
        <f>IF($A64="","",SUMIFS('原価明細'!$K$5:$K$1504,'原価明細'!$B$5:$B$1504,$A64,'原価明細'!$D$5:$D$1504,"材料費"))</f>
        <v/>
      </c>
      <c r="U64" s="94">
        <f>IF($A64="","",SUMIFS('原価明細'!$K$5:$K$1504,'原価明細'!$B$5:$B$1504,$A64,'原価明細'!$D$5:$D$1504,"労務費"))</f>
        <v/>
      </c>
      <c r="V64" s="94">
        <f>IF($A64="","",SUMIFS('原価明細'!$K$5:$K$1504,'原価明細'!$B$5:$B$1504,$A64,'原価明細'!$D$5:$D$1504,"外注費"))</f>
        <v/>
      </c>
      <c r="W64" s="94">
        <f>IF($A64="","",SUMIFS('原価明細'!$K$5:$K$1504,'原価明細'!$B$5:$B$1504,$A64,'原価明細'!$D$5:$D$1504,"経費"))</f>
        <v/>
      </c>
      <c r="X64" s="95">
        <f>IF($A64="","",IF(ISNUMBER('案件'!G57),'案件'!G57,""))</f>
        <v/>
      </c>
      <c r="Y64" s="91">
        <f>IF($A64="",0,1)</f>
        <v/>
      </c>
    </row>
    <row r="65" ht="17" customHeight="1">
      <c r="A65" s="53">
        <f>IF('案件'!A58="","",'案件'!A58)</f>
        <v/>
      </c>
      <c r="B65" s="37">
        <f>IF($A65="","",'案件'!B58&amp;"")</f>
        <v/>
      </c>
      <c r="C65" s="53">
        <f>IF($A65="","",'案件'!H58&amp;"")</f>
        <v/>
      </c>
      <c r="D65" s="31">
        <f>IF($A65="","",IF(ISNUMBER('案件'!K58),'案件'!K58,""))</f>
        <v/>
      </c>
      <c r="E65" s="31">
        <f>IF($A65="","",SUM('案件'!L58:O58))</f>
        <v/>
      </c>
      <c r="F65" s="30">
        <f>IF($A65="","",SUM(T65:W65))</f>
        <v/>
      </c>
      <c r="G65" s="49">
        <f>IF($A65="","",F65-E65)</f>
        <v/>
      </c>
      <c r="H65" s="32">
        <f>IF($A65="","",IF(E65&gt;0,F65/E65,"－"))</f>
        <v/>
      </c>
      <c r="I65" s="54">
        <f>IF($A65="","",IF(F65=0,"",IF(E65&lt;=0,"予定なし",IF(F65&gt;E65,"超過",IF(AND(C65&lt;&gt;"完了",C65&lt;&gt;"中止",ISNUMBER('設定'!$B$6),'設定'!$B$6&gt;0,F65/E65&gt;='設定'!$B$6),"注意","予定内")))))</f>
        <v/>
      </c>
      <c r="J65" s="31">
        <f>IF($A65="","",IF(OR(C65="完了",C65="中止"),F65,MAX(T65,N('案件'!L58))+MAX(U65,N('案件'!M58))+MAX(V65,N('案件'!N58))+MAX(W65,N('案件'!O58))))</f>
        <v/>
      </c>
      <c r="K65" s="31">
        <f>IF(OR($A65="",NOT(ISNUMBER(D65))),"",D65-E65)</f>
        <v/>
      </c>
      <c r="L65" s="30">
        <f>IF(OR($A65="",NOT(ISNUMBER(D65))),"",D65-J65)</f>
        <v/>
      </c>
      <c r="M65" s="32">
        <f>IF(K65="","",IF(D65&gt;0,K65/D65,"－"))</f>
        <v/>
      </c>
      <c r="N65" s="55">
        <f>IF(L65="","",IF(D65&gt;0,L65/D65,"－"))</f>
        <v/>
      </c>
      <c r="O65" s="50">
        <f>IF(AND(ISNUMBER(M65),ISNUMBER(N65)),(N65-M65)*100,IF($A65="","","－"))</f>
        <v/>
      </c>
      <c r="P65" s="49">
        <f>IF($A65="","",T65-N('案件'!L58))</f>
        <v/>
      </c>
      <c r="Q65" s="49">
        <f>IF($A65="","",U65-N('案件'!M58))</f>
        <v/>
      </c>
      <c r="R65" s="49">
        <f>IF($A65="","",V65-N('案件'!N58))</f>
        <v/>
      </c>
      <c r="S65" s="49">
        <f>IF($A65="","",W65-N('案件'!O58))</f>
        <v/>
      </c>
      <c r="T65" s="94">
        <f>IF($A65="","",SUMIFS('原価明細'!$K$5:$K$1504,'原価明細'!$B$5:$B$1504,$A65,'原価明細'!$D$5:$D$1504,"材料費"))</f>
        <v/>
      </c>
      <c r="U65" s="94">
        <f>IF($A65="","",SUMIFS('原価明細'!$K$5:$K$1504,'原価明細'!$B$5:$B$1504,$A65,'原価明細'!$D$5:$D$1504,"労務費"))</f>
        <v/>
      </c>
      <c r="V65" s="94">
        <f>IF($A65="","",SUMIFS('原価明細'!$K$5:$K$1504,'原価明細'!$B$5:$B$1504,$A65,'原価明細'!$D$5:$D$1504,"外注費"))</f>
        <v/>
      </c>
      <c r="W65" s="94">
        <f>IF($A65="","",SUMIFS('原価明細'!$K$5:$K$1504,'原価明細'!$B$5:$B$1504,$A65,'原価明細'!$D$5:$D$1504,"経費"))</f>
        <v/>
      </c>
      <c r="X65" s="95">
        <f>IF($A65="","",IF(ISNUMBER('案件'!G58),'案件'!G58,""))</f>
        <v/>
      </c>
      <c r="Y65" s="91">
        <f>IF($A65="",0,1)</f>
        <v/>
      </c>
    </row>
    <row r="66" ht="17" customHeight="1">
      <c r="A66" s="53">
        <f>IF('案件'!A59="","",'案件'!A59)</f>
        <v/>
      </c>
      <c r="B66" s="37">
        <f>IF($A66="","",'案件'!B59&amp;"")</f>
        <v/>
      </c>
      <c r="C66" s="53">
        <f>IF($A66="","",'案件'!H59&amp;"")</f>
        <v/>
      </c>
      <c r="D66" s="31">
        <f>IF($A66="","",IF(ISNUMBER('案件'!K59),'案件'!K59,""))</f>
        <v/>
      </c>
      <c r="E66" s="31">
        <f>IF($A66="","",SUM('案件'!L59:O59))</f>
        <v/>
      </c>
      <c r="F66" s="30">
        <f>IF($A66="","",SUM(T66:W66))</f>
        <v/>
      </c>
      <c r="G66" s="49">
        <f>IF($A66="","",F66-E66)</f>
        <v/>
      </c>
      <c r="H66" s="32">
        <f>IF($A66="","",IF(E66&gt;0,F66/E66,"－"))</f>
        <v/>
      </c>
      <c r="I66" s="54">
        <f>IF($A66="","",IF(F66=0,"",IF(E66&lt;=0,"予定なし",IF(F66&gt;E66,"超過",IF(AND(C66&lt;&gt;"完了",C66&lt;&gt;"中止",ISNUMBER('設定'!$B$6),'設定'!$B$6&gt;0,F66/E66&gt;='設定'!$B$6),"注意","予定内")))))</f>
        <v/>
      </c>
      <c r="J66" s="31">
        <f>IF($A66="","",IF(OR(C66="完了",C66="中止"),F66,MAX(T66,N('案件'!L59))+MAX(U66,N('案件'!M59))+MAX(V66,N('案件'!N59))+MAX(W66,N('案件'!O59))))</f>
        <v/>
      </c>
      <c r="K66" s="31">
        <f>IF(OR($A66="",NOT(ISNUMBER(D66))),"",D66-E66)</f>
        <v/>
      </c>
      <c r="L66" s="30">
        <f>IF(OR($A66="",NOT(ISNUMBER(D66))),"",D66-J66)</f>
        <v/>
      </c>
      <c r="M66" s="32">
        <f>IF(K66="","",IF(D66&gt;0,K66/D66,"－"))</f>
        <v/>
      </c>
      <c r="N66" s="55">
        <f>IF(L66="","",IF(D66&gt;0,L66/D66,"－"))</f>
        <v/>
      </c>
      <c r="O66" s="50">
        <f>IF(AND(ISNUMBER(M66),ISNUMBER(N66)),(N66-M66)*100,IF($A66="","","－"))</f>
        <v/>
      </c>
      <c r="P66" s="49">
        <f>IF($A66="","",T66-N('案件'!L59))</f>
        <v/>
      </c>
      <c r="Q66" s="49">
        <f>IF($A66="","",U66-N('案件'!M59))</f>
        <v/>
      </c>
      <c r="R66" s="49">
        <f>IF($A66="","",V66-N('案件'!N59))</f>
        <v/>
      </c>
      <c r="S66" s="49">
        <f>IF($A66="","",W66-N('案件'!O59))</f>
        <v/>
      </c>
      <c r="T66" s="94">
        <f>IF($A66="","",SUMIFS('原価明細'!$K$5:$K$1504,'原価明細'!$B$5:$B$1504,$A66,'原価明細'!$D$5:$D$1504,"材料費"))</f>
        <v/>
      </c>
      <c r="U66" s="94">
        <f>IF($A66="","",SUMIFS('原価明細'!$K$5:$K$1504,'原価明細'!$B$5:$B$1504,$A66,'原価明細'!$D$5:$D$1504,"労務費"))</f>
        <v/>
      </c>
      <c r="V66" s="94">
        <f>IF($A66="","",SUMIFS('原価明細'!$K$5:$K$1504,'原価明細'!$B$5:$B$1504,$A66,'原価明細'!$D$5:$D$1504,"外注費"))</f>
        <v/>
      </c>
      <c r="W66" s="94">
        <f>IF($A66="","",SUMIFS('原価明細'!$K$5:$K$1504,'原価明細'!$B$5:$B$1504,$A66,'原価明細'!$D$5:$D$1504,"経費"))</f>
        <v/>
      </c>
      <c r="X66" s="95">
        <f>IF($A66="","",IF(ISNUMBER('案件'!G59),'案件'!G59,""))</f>
        <v/>
      </c>
      <c r="Y66" s="91">
        <f>IF($A66="",0,1)</f>
        <v/>
      </c>
    </row>
    <row r="67" ht="17" customHeight="1">
      <c r="A67" s="53">
        <f>IF('案件'!A60="","",'案件'!A60)</f>
        <v/>
      </c>
      <c r="B67" s="37">
        <f>IF($A67="","",'案件'!B60&amp;"")</f>
        <v/>
      </c>
      <c r="C67" s="53">
        <f>IF($A67="","",'案件'!H60&amp;"")</f>
        <v/>
      </c>
      <c r="D67" s="31">
        <f>IF($A67="","",IF(ISNUMBER('案件'!K60),'案件'!K60,""))</f>
        <v/>
      </c>
      <c r="E67" s="31">
        <f>IF($A67="","",SUM('案件'!L60:O60))</f>
        <v/>
      </c>
      <c r="F67" s="30">
        <f>IF($A67="","",SUM(T67:W67))</f>
        <v/>
      </c>
      <c r="G67" s="49">
        <f>IF($A67="","",F67-E67)</f>
        <v/>
      </c>
      <c r="H67" s="32">
        <f>IF($A67="","",IF(E67&gt;0,F67/E67,"－"))</f>
        <v/>
      </c>
      <c r="I67" s="54">
        <f>IF($A67="","",IF(F67=0,"",IF(E67&lt;=0,"予定なし",IF(F67&gt;E67,"超過",IF(AND(C67&lt;&gt;"完了",C67&lt;&gt;"中止",ISNUMBER('設定'!$B$6),'設定'!$B$6&gt;0,F67/E67&gt;='設定'!$B$6),"注意","予定内")))))</f>
        <v/>
      </c>
      <c r="J67" s="31">
        <f>IF($A67="","",IF(OR(C67="完了",C67="中止"),F67,MAX(T67,N('案件'!L60))+MAX(U67,N('案件'!M60))+MAX(V67,N('案件'!N60))+MAX(W67,N('案件'!O60))))</f>
        <v/>
      </c>
      <c r="K67" s="31">
        <f>IF(OR($A67="",NOT(ISNUMBER(D67))),"",D67-E67)</f>
        <v/>
      </c>
      <c r="L67" s="30">
        <f>IF(OR($A67="",NOT(ISNUMBER(D67))),"",D67-J67)</f>
        <v/>
      </c>
      <c r="M67" s="32">
        <f>IF(K67="","",IF(D67&gt;0,K67/D67,"－"))</f>
        <v/>
      </c>
      <c r="N67" s="55">
        <f>IF(L67="","",IF(D67&gt;0,L67/D67,"－"))</f>
        <v/>
      </c>
      <c r="O67" s="50">
        <f>IF(AND(ISNUMBER(M67),ISNUMBER(N67)),(N67-M67)*100,IF($A67="","","－"))</f>
        <v/>
      </c>
      <c r="P67" s="49">
        <f>IF($A67="","",T67-N('案件'!L60))</f>
        <v/>
      </c>
      <c r="Q67" s="49">
        <f>IF($A67="","",U67-N('案件'!M60))</f>
        <v/>
      </c>
      <c r="R67" s="49">
        <f>IF($A67="","",V67-N('案件'!N60))</f>
        <v/>
      </c>
      <c r="S67" s="49">
        <f>IF($A67="","",W67-N('案件'!O60))</f>
        <v/>
      </c>
      <c r="T67" s="94">
        <f>IF($A67="","",SUMIFS('原価明細'!$K$5:$K$1504,'原価明細'!$B$5:$B$1504,$A67,'原価明細'!$D$5:$D$1504,"材料費"))</f>
        <v/>
      </c>
      <c r="U67" s="94">
        <f>IF($A67="","",SUMIFS('原価明細'!$K$5:$K$1504,'原価明細'!$B$5:$B$1504,$A67,'原価明細'!$D$5:$D$1504,"労務費"))</f>
        <v/>
      </c>
      <c r="V67" s="94">
        <f>IF($A67="","",SUMIFS('原価明細'!$K$5:$K$1504,'原価明細'!$B$5:$B$1504,$A67,'原価明細'!$D$5:$D$1504,"外注費"))</f>
        <v/>
      </c>
      <c r="W67" s="94">
        <f>IF($A67="","",SUMIFS('原価明細'!$K$5:$K$1504,'原価明細'!$B$5:$B$1504,$A67,'原価明細'!$D$5:$D$1504,"経費"))</f>
        <v/>
      </c>
      <c r="X67" s="95">
        <f>IF($A67="","",IF(ISNUMBER('案件'!G60),'案件'!G60,""))</f>
        <v/>
      </c>
      <c r="Y67" s="91">
        <f>IF($A67="",0,1)</f>
        <v/>
      </c>
    </row>
    <row r="68" ht="17" customHeight="1">
      <c r="A68" s="53">
        <f>IF('案件'!A61="","",'案件'!A61)</f>
        <v/>
      </c>
      <c r="B68" s="37">
        <f>IF($A68="","",'案件'!B61&amp;"")</f>
        <v/>
      </c>
      <c r="C68" s="53">
        <f>IF($A68="","",'案件'!H61&amp;"")</f>
        <v/>
      </c>
      <c r="D68" s="31">
        <f>IF($A68="","",IF(ISNUMBER('案件'!K61),'案件'!K61,""))</f>
        <v/>
      </c>
      <c r="E68" s="31">
        <f>IF($A68="","",SUM('案件'!L61:O61))</f>
        <v/>
      </c>
      <c r="F68" s="30">
        <f>IF($A68="","",SUM(T68:W68))</f>
        <v/>
      </c>
      <c r="G68" s="49">
        <f>IF($A68="","",F68-E68)</f>
        <v/>
      </c>
      <c r="H68" s="32">
        <f>IF($A68="","",IF(E68&gt;0,F68/E68,"－"))</f>
        <v/>
      </c>
      <c r="I68" s="54">
        <f>IF($A68="","",IF(F68=0,"",IF(E68&lt;=0,"予定なし",IF(F68&gt;E68,"超過",IF(AND(C68&lt;&gt;"完了",C68&lt;&gt;"中止",ISNUMBER('設定'!$B$6),'設定'!$B$6&gt;0,F68/E68&gt;='設定'!$B$6),"注意","予定内")))))</f>
        <v/>
      </c>
      <c r="J68" s="31">
        <f>IF($A68="","",IF(OR(C68="完了",C68="中止"),F68,MAX(T68,N('案件'!L61))+MAX(U68,N('案件'!M61))+MAX(V68,N('案件'!N61))+MAX(W68,N('案件'!O61))))</f>
        <v/>
      </c>
      <c r="K68" s="31">
        <f>IF(OR($A68="",NOT(ISNUMBER(D68))),"",D68-E68)</f>
        <v/>
      </c>
      <c r="L68" s="30">
        <f>IF(OR($A68="",NOT(ISNUMBER(D68))),"",D68-J68)</f>
        <v/>
      </c>
      <c r="M68" s="32">
        <f>IF(K68="","",IF(D68&gt;0,K68/D68,"－"))</f>
        <v/>
      </c>
      <c r="N68" s="55">
        <f>IF(L68="","",IF(D68&gt;0,L68/D68,"－"))</f>
        <v/>
      </c>
      <c r="O68" s="50">
        <f>IF(AND(ISNUMBER(M68),ISNUMBER(N68)),(N68-M68)*100,IF($A68="","","－"))</f>
        <v/>
      </c>
      <c r="P68" s="49">
        <f>IF($A68="","",T68-N('案件'!L61))</f>
        <v/>
      </c>
      <c r="Q68" s="49">
        <f>IF($A68="","",U68-N('案件'!M61))</f>
        <v/>
      </c>
      <c r="R68" s="49">
        <f>IF($A68="","",V68-N('案件'!N61))</f>
        <v/>
      </c>
      <c r="S68" s="49">
        <f>IF($A68="","",W68-N('案件'!O61))</f>
        <v/>
      </c>
      <c r="T68" s="94">
        <f>IF($A68="","",SUMIFS('原価明細'!$K$5:$K$1504,'原価明細'!$B$5:$B$1504,$A68,'原価明細'!$D$5:$D$1504,"材料費"))</f>
        <v/>
      </c>
      <c r="U68" s="94">
        <f>IF($A68="","",SUMIFS('原価明細'!$K$5:$K$1504,'原価明細'!$B$5:$B$1504,$A68,'原価明細'!$D$5:$D$1504,"労務費"))</f>
        <v/>
      </c>
      <c r="V68" s="94">
        <f>IF($A68="","",SUMIFS('原価明細'!$K$5:$K$1504,'原価明細'!$B$5:$B$1504,$A68,'原価明細'!$D$5:$D$1504,"外注費"))</f>
        <v/>
      </c>
      <c r="W68" s="94">
        <f>IF($A68="","",SUMIFS('原価明細'!$K$5:$K$1504,'原価明細'!$B$5:$B$1504,$A68,'原価明細'!$D$5:$D$1504,"経費"))</f>
        <v/>
      </c>
      <c r="X68" s="95">
        <f>IF($A68="","",IF(ISNUMBER('案件'!G61),'案件'!G61,""))</f>
        <v/>
      </c>
      <c r="Y68" s="91">
        <f>IF($A68="",0,1)</f>
        <v/>
      </c>
    </row>
    <row r="69" ht="17" customHeight="1">
      <c r="A69" s="53">
        <f>IF('案件'!A62="","",'案件'!A62)</f>
        <v/>
      </c>
      <c r="B69" s="37">
        <f>IF($A69="","",'案件'!B62&amp;"")</f>
        <v/>
      </c>
      <c r="C69" s="53">
        <f>IF($A69="","",'案件'!H62&amp;"")</f>
        <v/>
      </c>
      <c r="D69" s="31">
        <f>IF($A69="","",IF(ISNUMBER('案件'!K62),'案件'!K62,""))</f>
        <v/>
      </c>
      <c r="E69" s="31">
        <f>IF($A69="","",SUM('案件'!L62:O62))</f>
        <v/>
      </c>
      <c r="F69" s="30">
        <f>IF($A69="","",SUM(T69:W69))</f>
        <v/>
      </c>
      <c r="G69" s="49">
        <f>IF($A69="","",F69-E69)</f>
        <v/>
      </c>
      <c r="H69" s="32">
        <f>IF($A69="","",IF(E69&gt;0,F69/E69,"－"))</f>
        <v/>
      </c>
      <c r="I69" s="54">
        <f>IF($A69="","",IF(F69=0,"",IF(E69&lt;=0,"予定なし",IF(F69&gt;E69,"超過",IF(AND(C69&lt;&gt;"完了",C69&lt;&gt;"中止",ISNUMBER('設定'!$B$6),'設定'!$B$6&gt;0,F69/E69&gt;='設定'!$B$6),"注意","予定内")))))</f>
        <v/>
      </c>
      <c r="J69" s="31">
        <f>IF($A69="","",IF(OR(C69="完了",C69="中止"),F69,MAX(T69,N('案件'!L62))+MAX(U69,N('案件'!M62))+MAX(V69,N('案件'!N62))+MAX(W69,N('案件'!O62))))</f>
        <v/>
      </c>
      <c r="K69" s="31">
        <f>IF(OR($A69="",NOT(ISNUMBER(D69))),"",D69-E69)</f>
        <v/>
      </c>
      <c r="L69" s="30">
        <f>IF(OR($A69="",NOT(ISNUMBER(D69))),"",D69-J69)</f>
        <v/>
      </c>
      <c r="M69" s="32">
        <f>IF(K69="","",IF(D69&gt;0,K69/D69,"－"))</f>
        <v/>
      </c>
      <c r="N69" s="55">
        <f>IF(L69="","",IF(D69&gt;0,L69/D69,"－"))</f>
        <v/>
      </c>
      <c r="O69" s="50">
        <f>IF(AND(ISNUMBER(M69),ISNUMBER(N69)),(N69-M69)*100,IF($A69="","","－"))</f>
        <v/>
      </c>
      <c r="P69" s="49">
        <f>IF($A69="","",T69-N('案件'!L62))</f>
        <v/>
      </c>
      <c r="Q69" s="49">
        <f>IF($A69="","",U69-N('案件'!M62))</f>
        <v/>
      </c>
      <c r="R69" s="49">
        <f>IF($A69="","",V69-N('案件'!N62))</f>
        <v/>
      </c>
      <c r="S69" s="49">
        <f>IF($A69="","",W69-N('案件'!O62))</f>
        <v/>
      </c>
      <c r="T69" s="94">
        <f>IF($A69="","",SUMIFS('原価明細'!$K$5:$K$1504,'原価明細'!$B$5:$B$1504,$A69,'原価明細'!$D$5:$D$1504,"材料費"))</f>
        <v/>
      </c>
      <c r="U69" s="94">
        <f>IF($A69="","",SUMIFS('原価明細'!$K$5:$K$1504,'原価明細'!$B$5:$B$1504,$A69,'原価明細'!$D$5:$D$1504,"労務費"))</f>
        <v/>
      </c>
      <c r="V69" s="94">
        <f>IF($A69="","",SUMIFS('原価明細'!$K$5:$K$1504,'原価明細'!$B$5:$B$1504,$A69,'原価明細'!$D$5:$D$1504,"外注費"))</f>
        <v/>
      </c>
      <c r="W69" s="94">
        <f>IF($A69="","",SUMIFS('原価明細'!$K$5:$K$1504,'原価明細'!$B$5:$B$1504,$A69,'原価明細'!$D$5:$D$1504,"経費"))</f>
        <v/>
      </c>
      <c r="X69" s="95">
        <f>IF($A69="","",IF(ISNUMBER('案件'!G62),'案件'!G62,""))</f>
        <v/>
      </c>
      <c r="Y69" s="91">
        <f>IF($A69="",0,1)</f>
        <v/>
      </c>
    </row>
    <row r="70" ht="17" customHeight="1">
      <c r="A70" s="53">
        <f>IF('案件'!A63="","",'案件'!A63)</f>
        <v/>
      </c>
      <c r="B70" s="37">
        <f>IF($A70="","",'案件'!B63&amp;"")</f>
        <v/>
      </c>
      <c r="C70" s="53">
        <f>IF($A70="","",'案件'!H63&amp;"")</f>
        <v/>
      </c>
      <c r="D70" s="31">
        <f>IF($A70="","",IF(ISNUMBER('案件'!K63),'案件'!K63,""))</f>
        <v/>
      </c>
      <c r="E70" s="31">
        <f>IF($A70="","",SUM('案件'!L63:O63))</f>
        <v/>
      </c>
      <c r="F70" s="30">
        <f>IF($A70="","",SUM(T70:W70))</f>
        <v/>
      </c>
      <c r="G70" s="49">
        <f>IF($A70="","",F70-E70)</f>
        <v/>
      </c>
      <c r="H70" s="32">
        <f>IF($A70="","",IF(E70&gt;0,F70/E70,"－"))</f>
        <v/>
      </c>
      <c r="I70" s="54">
        <f>IF($A70="","",IF(F70=0,"",IF(E70&lt;=0,"予定なし",IF(F70&gt;E70,"超過",IF(AND(C70&lt;&gt;"完了",C70&lt;&gt;"中止",ISNUMBER('設定'!$B$6),'設定'!$B$6&gt;0,F70/E70&gt;='設定'!$B$6),"注意","予定内")))))</f>
        <v/>
      </c>
      <c r="J70" s="31">
        <f>IF($A70="","",IF(OR(C70="完了",C70="中止"),F70,MAX(T70,N('案件'!L63))+MAX(U70,N('案件'!M63))+MAX(V70,N('案件'!N63))+MAX(W70,N('案件'!O63))))</f>
        <v/>
      </c>
      <c r="K70" s="31">
        <f>IF(OR($A70="",NOT(ISNUMBER(D70))),"",D70-E70)</f>
        <v/>
      </c>
      <c r="L70" s="30">
        <f>IF(OR($A70="",NOT(ISNUMBER(D70))),"",D70-J70)</f>
        <v/>
      </c>
      <c r="M70" s="32">
        <f>IF(K70="","",IF(D70&gt;0,K70/D70,"－"))</f>
        <v/>
      </c>
      <c r="N70" s="55">
        <f>IF(L70="","",IF(D70&gt;0,L70/D70,"－"))</f>
        <v/>
      </c>
      <c r="O70" s="50">
        <f>IF(AND(ISNUMBER(M70),ISNUMBER(N70)),(N70-M70)*100,IF($A70="","","－"))</f>
        <v/>
      </c>
      <c r="P70" s="49">
        <f>IF($A70="","",T70-N('案件'!L63))</f>
        <v/>
      </c>
      <c r="Q70" s="49">
        <f>IF($A70="","",U70-N('案件'!M63))</f>
        <v/>
      </c>
      <c r="R70" s="49">
        <f>IF($A70="","",V70-N('案件'!N63))</f>
        <v/>
      </c>
      <c r="S70" s="49">
        <f>IF($A70="","",W70-N('案件'!O63))</f>
        <v/>
      </c>
      <c r="T70" s="94">
        <f>IF($A70="","",SUMIFS('原価明細'!$K$5:$K$1504,'原価明細'!$B$5:$B$1504,$A70,'原価明細'!$D$5:$D$1504,"材料費"))</f>
        <v/>
      </c>
      <c r="U70" s="94">
        <f>IF($A70="","",SUMIFS('原価明細'!$K$5:$K$1504,'原価明細'!$B$5:$B$1504,$A70,'原価明細'!$D$5:$D$1504,"労務費"))</f>
        <v/>
      </c>
      <c r="V70" s="94">
        <f>IF($A70="","",SUMIFS('原価明細'!$K$5:$K$1504,'原価明細'!$B$5:$B$1504,$A70,'原価明細'!$D$5:$D$1504,"外注費"))</f>
        <v/>
      </c>
      <c r="W70" s="94">
        <f>IF($A70="","",SUMIFS('原価明細'!$K$5:$K$1504,'原価明細'!$B$5:$B$1504,$A70,'原価明細'!$D$5:$D$1504,"経費"))</f>
        <v/>
      </c>
      <c r="X70" s="95">
        <f>IF($A70="","",IF(ISNUMBER('案件'!G63),'案件'!G63,""))</f>
        <v/>
      </c>
      <c r="Y70" s="91">
        <f>IF($A70="",0,1)</f>
        <v/>
      </c>
    </row>
    <row r="71" ht="17" customHeight="1">
      <c r="A71" s="53">
        <f>IF('案件'!A64="","",'案件'!A64)</f>
        <v/>
      </c>
      <c r="B71" s="37">
        <f>IF($A71="","",'案件'!B64&amp;"")</f>
        <v/>
      </c>
      <c r="C71" s="53">
        <f>IF($A71="","",'案件'!H64&amp;"")</f>
        <v/>
      </c>
      <c r="D71" s="31">
        <f>IF($A71="","",IF(ISNUMBER('案件'!K64),'案件'!K64,""))</f>
        <v/>
      </c>
      <c r="E71" s="31">
        <f>IF($A71="","",SUM('案件'!L64:O64))</f>
        <v/>
      </c>
      <c r="F71" s="30">
        <f>IF($A71="","",SUM(T71:W71))</f>
        <v/>
      </c>
      <c r="G71" s="49">
        <f>IF($A71="","",F71-E71)</f>
        <v/>
      </c>
      <c r="H71" s="32">
        <f>IF($A71="","",IF(E71&gt;0,F71/E71,"－"))</f>
        <v/>
      </c>
      <c r="I71" s="54">
        <f>IF($A71="","",IF(F71=0,"",IF(E71&lt;=0,"予定なし",IF(F71&gt;E71,"超過",IF(AND(C71&lt;&gt;"完了",C71&lt;&gt;"中止",ISNUMBER('設定'!$B$6),'設定'!$B$6&gt;0,F71/E71&gt;='設定'!$B$6),"注意","予定内")))))</f>
        <v/>
      </c>
      <c r="J71" s="31">
        <f>IF($A71="","",IF(OR(C71="完了",C71="中止"),F71,MAX(T71,N('案件'!L64))+MAX(U71,N('案件'!M64))+MAX(V71,N('案件'!N64))+MAX(W71,N('案件'!O64))))</f>
        <v/>
      </c>
      <c r="K71" s="31">
        <f>IF(OR($A71="",NOT(ISNUMBER(D71))),"",D71-E71)</f>
        <v/>
      </c>
      <c r="L71" s="30">
        <f>IF(OR($A71="",NOT(ISNUMBER(D71))),"",D71-J71)</f>
        <v/>
      </c>
      <c r="M71" s="32">
        <f>IF(K71="","",IF(D71&gt;0,K71/D71,"－"))</f>
        <v/>
      </c>
      <c r="N71" s="55">
        <f>IF(L71="","",IF(D71&gt;0,L71/D71,"－"))</f>
        <v/>
      </c>
      <c r="O71" s="50">
        <f>IF(AND(ISNUMBER(M71),ISNUMBER(N71)),(N71-M71)*100,IF($A71="","","－"))</f>
        <v/>
      </c>
      <c r="P71" s="49">
        <f>IF($A71="","",T71-N('案件'!L64))</f>
        <v/>
      </c>
      <c r="Q71" s="49">
        <f>IF($A71="","",U71-N('案件'!M64))</f>
        <v/>
      </c>
      <c r="R71" s="49">
        <f>IF($A71="","",V71-N('案件'!N64))</f>
        <v/>
      </c>
      <c r="S71" s="49">
        <f>IF($A71="","",W71-N('案件'!O64))</f>
        <v/>
      </c>
      <c r="T71" s="94">
        <f>IF($A71="","",SUMIFS('原価明細'!$K$5:$K$1504,'原価明細'!$B$5:$B$1504,$A71,'原価明細'!$D$5:$D$1504,"材料費"))</f>
        <v/>
      </c>
      <c r="U71" s="94">
        <f>IF($A71="","",SUMIFS('原価明細'!$K$5:$K$1504,'原価明細'!$B$5:$B$1504,$A71,'原価明細'!$D$5:$D$1504,"労務費"))</f>
        <v/>
      </c>
      <c r="V71" s="94">
        <f>IF($A71="","",SUMIFS('原価明細'!$K$5:$K$1504,'原価明細'!$B$5:$B$1504,$A71,'原価明細'!$D$5:$D$1504,"外注費"))</f>
        <v/>
      </c>
      <c r="W71" s="94">
        <f>IF($A71="","",SUMIFS('原価明細'!$K$5:$K$1504,'原価明細'!$B$5:$B$1504,$A71,'原価明細'!$D$5:$D$1504,"経費"))</f>
        <v/>
      </c>
      <c r="X71" s="95">
        <f>IF($A71="","",IF(ISNUMBER('案件'!G64),'案件'!G64,""))</f>
        <v/>
      </c>
      <c r="Y71" s="91">
        <f>IF($A71="",0,1)</f>
        <v/>
      </c>
    </row>
    <row r="72" ht="17" customHeight="1">
      <c r="A72" s="53">
        <f>IF('案件'!A65="","",'案件'!A65)</f>
        <v/>
      </c>
      <c r="B72" s="37">
        <f>IF($A72="","",'案件'!B65&amp;"")</f>
        <v/>
      </c>
      <c r="C72" s="53">
        <f>IF($A72="","",'案件'!H65&amp;"")</f>
        <v/>
      </c>
      <c r="D72" s="31">
        <f>IF($A72="","",IF(ISNUMBER('案件'!K65),'案件'!K65,""))</f>
        <v/>
      </c>
      <c r="E72" s="31">
        <f>IF($A72="","",SUM('案件'!L65:O65))</f>
        <v/>
      </c>
      <c r="F72" s="30">
        <f>IF($A72="","",SUM(T72:W72))</f>
        <v/>
      </c>
      <c r="G72" s="49">
        <f>IF($A72="","",F72-E72)</f>
        <v/>
      </c>
      <c r="H72" s="32">
        <f>IF($A72="","",IF(E72&gt;0,F72/E72,"－"))</f>
        <v/>
      </c>
      <c r="I72" s="54">
        <f>IF($A72="","",IF(F72=0,"",IF(E72&lt;=0,"予定なし",IF(F72&gt;E72,"超過",IF(AND(C72&lt;&gt;"完了",C72&lt;&gt;"中止",ISNUMBER('設定'!$B$6),'設定'!$B$6&gt;0,F72/E72&gt;='設定'!$B$6),"注意","予定内")))))</f>
        <v/>
      </c>
      <c r="J72" s="31">
        <f>IF($A72="","",IF(OR(C72="完了",C72="中止"),F72,MAX(T72,N('案件'!L65))+MAX(U72,N('案件'!M65))+MAX(V72,N('案件'!N65))+MAX(W72,N('案件'!O65))))</f>
        <v/>
      </c>
      <c r="K72" s="31">
        <f>IF(OR($A72="",NOT(ISNUMBER(D72))),"",D72-E72)</f>
        <v/>
      </c>
      <c r="L72" s="30">
        <f>IF(OR($A72="",NOT(ISNUMBER(D72))),"",D72-J72)</f>
        <v/>
      </c>
      <c r="M72" s="32">
        <f>IF(K72="","",IF(D72&gt;0,K72/D72,"－"))</f>
        <v/>
      </c>
      <c r="N72" s="55">
        <f>IF(L72="","",IF(D72&gt;0,L72/D72,"－"))</f>
        <v/>
      </c>
      <c r="O72" s="50">
        <f>IF(AND(ISNUMBER(M72),ISNUMBER(N72)),(N72-M72)*100,IF($A72="","","－"))</f>
        <v/>
      </c>
      <c r="P72" s="49">
        <f>IF($A72="","",T72-N('案件'!L65))</f>
        <v/>
      </c>
      <c r="Q72" s="49">
        <f>IF($A72="","",U72-N('案件'!M65))</f>
        <v/>
      </c>
      <c r="R72" s="49">
        <f>IF($A72="","",V72-N('案件'!N65))</f>
        <v/>
      </c>
      <c r="S72" s="49">
        <f>IF($A72="","",W72-N('案件'!O65))</f>
        <v/>
      </c>
      <c r="T72" s="94">
        <f>IF($A72="","",SUMIFS('原価明細'!$K$5:$K$1504,'原価明細'!$B$5:$B$1504,$A72,'原価明細'!$D$5:$D$1504,"材料費"))</f>
        <v/>
      </c>
      <c r="U72" s="94">
        <f>IF($A72="","",SUMIFS('原価明細'!$K$5:$K$1504,'原価明細'!$B$5:$B$1504,$A72,'原価明細'!$D$5:$D$1504,"労務費"))</f>
        <v/>
      </c>
      <c r="V72" s="94">
        <f>IF($A72="","",SUMIFS('原価明細'!$K$5:$K$1504,'原価明細'!$B$5:$B$1504,$A72,'原価明細'!$D$5:$D$1504,"外注費"))</f>
        <v/>
      </c>
      <c r="W72" s="94">
        <f>IF($A72="","",SUMIFS('原価明細'!$K$5:$K$1504,'原価明細'!$B$5:$B$1504,$A72,'原価明細'!$D$5:$D$1504,"経費"))</f>
        <v/>
      </c>
      <c r="X72" s="95">
        <f>IF($A72="","",IF(ISNUMBER('案件'!G65),'案件'!G65,""))</f>
        <v/>
      </c>
      <c r="Y72" s="91">
        <f>IF($A72="",0,1)</f>
        <v/>
      </c>
    </row>
    <row r="73" ht="17" customHeight="1">
      <c r="A73" s="53">
        <f>IF('案件'!A66="","",'案件'!A66)</f>
        <v/>
      </c>
      <c r="B73" s="37">
        <f>IF($A73="","",'案件'!B66&amp;"")</f>
        <v/>
      </c>
      <c r="C73" s="53">
        <f>IF($A73="","",'案件'!H66&amp;"")</f>
        <v/>
      </c>
      <c r="D73" s="31">
        <f>IF($A73="","",IF(ISNUMBER('案件'!K66),'案件'!K66,""))</f>
        <v/>
      </c>
      <c r="E73" s="31">
        <f>IF($A73="","",SUM('案件'!L66:O66))</f>
        <v/>
      </c>
      <c r="F73" s="30">
        <f>IF($A73="","",SUM(T73:W73))</f>
        <v/>
      </c>
      <c r="G73" s="49">
        <f>IF($A73="","",F73-E73)</f>
        <v/>
      </c>
      <c r="H73" s="32">
        <f>IF($A73="","",IF(E73&gt;0,F73/E73,"－"))</f>
        <v/>
      </c>
      <c r="I73" s="54">
        <f>IF($A73="","",IF(F73=0,"",IF(E73&lt;=0,"予定なし",IF(F73&gt;E73,"超過",IF(AND(C73&lt;&gt;"完了",C73&lt;&gt;"中止",ISNUMBER('設定'!$B$6),'設定'!$B$6&gt;0,F73/E73&gt;='設定'!$B$6),"注意","予定内")))))</f>
        <v/>
      </c>
      <c r="J73" s="31">
        <f>IF($A73="","",IF(OR(C73="完了",C73="中止"),F73,MAX(T73,N('案件'!L66))+MAX(U73,N('案件'!M66))+MAX(V73,N('案件'!N66))+MAX(W73,N('案件'!O66))))</f>
        <v/>
      </c>
      <c r="K73" s="31">
        <f>IF(OR($A73="",NOT(ISNUMBER(D73))),"",D73-E73)</f>
        <v/>
      </c>
      <c r="L73" s="30">
        <f>IF(OR($A73="",NOT(ISNUMBER(D73))),"",D73-J73)</f>
        <v/>
      </c>
      <c r="M73" s="32">
        <f>IF(K73="","",IF(D73&gt;0,K73/D73,"－"))</f>
        <v/>
      </c>
      <c r="N73" s="55">
        <f>IF(L73="","",IF(D73&gt;0,L73/D73,"－"))</f>
        <v/>
      </c>
      <c r="O73" s="50">
        <f>IF(AND(ISNUMBER(M73),ISNUMBER(N73)),(N73-M73)*100,IF($A73="","","－"))</f>
        <v/>
      </c>
      <c r="P73" s="49">
        <f>IF($A73="","",T73-N('案件'!L66))</f>
        <v/>
      </c>
      <c r="Q73" s="49">
        <f>IF($A73="","",U73-N('案件'!M66))</f>
        <v/>
      </c>
      <c r="R73" s="49">
        <f>IF($A73="","",V73-N('案件'!N66))</f>
        <v/>
      </c>
      <c r="S73" s="49">
        <f>IF($A73="","",W73-N('案件'!O66))</f>
        <v/>
      </c>
      <c r="T73" s="94">
        <f>IF($A73="","",SUMIFS('原価明細'!$K$5:$K$1504,'原価明細'!$B$5:$B$1504,$A73,'原価明細'!$D$5:$D$1504,"材料費"))</f>
        <v/>
      </c>
      <c r="U73" s="94">
        <f>IF($A73="","",SUMIFS('原価明細'!$K$5:$K$1504,'原価明細'!$B$5:$B$1504,$A73,'原価明細'!$D$5:$D$1504,"労務費"))</f>
        <v/>
      </c>
      <c r="V73" s="94">
        <f>IF($A73="","",SUMIFS('原価明細'!$K$5:$K$1504,'原価明細'!$B$5:$B$1504,$A73,'原価明細'!$D$5:$D$1504,"外注費"))</f>
        <v/>
      </c>
      <c r="W73" s="94">
        <f>IF($A73="","",SUMIFS('原価明細'!$K$5:$K$1504,'原価明細'!$B$5:$B$1504,$A73,'原価明細'!$D$5:$D$1504,"経費"))</f>
        <v/>
      </c>
      <c r="X73" s="95">
        <f>IF($A73="","",IF(ISNUMBER('案件'!G66),'案件'!G66,""))</f>
        <v/>
      </c>
      <c r="Y73" s="91">
        <f>IF($A73="",0,1)</f>
        <v/>
      </c>
    </row>
    <row r="74" ht="17" customHeight="1">
      <c r="A74" s="53">
        <f>IF('案件'!A67="","",'案件'!A67)</f>
        <v/>
      </c>
      <c r="B74" s="37">
        <f>IF($A74="","",'案件'!B67&amp;"")</f>
        <v/>
      </c>
      <c r="C74" s="53">
        <f>IF($A74="","",'案件'!H67&amp;"")</f>
        <v/>
      </c>
      <c r="D74" s="31">
        <f>IF($A74="","",IF(ISNUMBER('案件'!K67),'案件'!K67,""))</f>
        <v/>
      </c>
      <c r="E74" s="31">
        <f>IF($A74="","",SUM('案件'!L67:O67))</f>
        <v/>
      </c>
      <c r="F74" s="30">
        <f>IF($A74="","",SUM(T74:W74))</f>
        <v/>
      </c>
      <c r="G74" s="49">
        <f>IF($A74="","",F74-E74)</f>
        <v/>
      </c>
      <c r="H74" s="32">
        <f>IF($A74="","",IF(E74&gt;0,F74/E74,"－"))</f>
        <v/>
      </c>
      <c r="I74" s="54">
        <f>IF($A74="","",IF(F74=0,"",IF(E74&lt;=0,"予定なし",IF(F74&gt;E74,"超過",IF(AND(C74&lt;&gt;"完了",C74&lt;&gt;"中止",ISNUMBER('設定'!$B$6),'設定'!$B$6&gt;0,F74/E74&gt;='設定'!$B$6),"注意","予定内")))))</f>
        <v/>
      </c>
      <c r="J74" s="31">
        <f>IF($A74="","",IF(OR(C74="完了",C74="中止"),F74,MAX(T74,N('案件'!L67))+MAX(U74,N('案件'!M67))+MAX(V74,N('案件'!N67))+MAX(W74,N('案件'!O67))))</f>
        <v/>
      </c>
      <c r="K74" s="31">
        <f>IF(OR($A74="",NOT(ISNUMBER(D74))),"",D74-E74)</f>
        <v/>
      </c>
      <c r="L74" s="30">
        <f>IF(OR($A74="",NOT(ISNUMBER(D74))),"",D74-J74)</f>
        <v/>
      </c>
      <c r="M74" s="32">
        <f>IF(K74="","",IF(D74&gt;0,K74/D74,"－"))</f>
        <v/>
      </c>
      <c r="N74" s="55">
        <f>IF(L74="","",IF(D74&gt;0,L74/D74,"－"))</f>
        <v/>
      </c>
      <c r="O74" s="50">
        <f>IF(AND(ISNUMBER(M74),ISNUMBER(N74)),(N74-M74)*100,IF($A74="","","－"))</f>
        <v/>
      </c>
      <c r="P74" s="49">
        <f>IF($A74="","",T74-N('案件'!L67))</f>
        <v/>
      </c>
      <c r="Q74" s="49">
        <f>IF($A74="","",U74-N('案件'!M67))</f>
        <v/>
      </c>
      <c r="R74" s="49">
        <f>IF($A74="","",V74-N('案件'!N67))</f>
        <v/>
      </c>
      <c r="S74" s="49">
        <f>IF($A74="","",W74-N('案件'!O67))</f>
        <v/>
      </c>
      <c r="T74" s="94">
        <f>IF($A74="","",SUMIFS('原価明細'!$K$5:$K$1504,'原価明細'!$B$5:$B$1504,$A74,'原価明細'!$D$5:$D$1504,"材料費"))</f>
        <v/>
      </c>
      <c r="U74" s="94">
        <f>IF($A74="","",SUMIFS('原価明細'!$K$5:$K$1504,'原価明細'!$B$5:$B$1504,$A74,'原価明細'!$D$5:$D$1504,"労務費"))</f>
        <v/>
      </c>
      <c r="V74" s="94">
        <f>IF($A74="","",SUMIFS('原価明細'!$K$5:$K$1504,'原価明細'!$B$5:$B$1504,$A74,'原価明細'!$D$5:$D$1504,"外注費"))</f>
        <v/>
      </c>
      <c r="W74" s="94">
        <f>IF($A74="","",SUMIFS('原価明細'!$K$5:$K$1504,'原価明細'!$B$5:$B$1504,$A74,'原価明細'!$D$5:$D$1504,"経費"))</f>
        <v/>
      </c>
      <c r="X74" s="95">
        <f>IF($A74="","",IF(ISNUMBER('案件'!G67),'案件'!G67,""))</f>
        <v/>
      </c>
      <c r="Y74" s="91">
        <f>IF($A74="",0,1)</f>
        <v/>
      </c>
    </row>
    <row r="75" ht="17" customHeight="1">
      <c r="A75" s="53">
        <f>IF('案件'!A68="","",'案件'!A68)</f>
        <v/>
      </c>
      <c r="B75" s="37">
        <f>IF($A75="","",'案件'!B68&amp;"")</f>
        <v/>
      </c>
      <c r="C75" s="53">
        <f>IF($A75="","",'案件'!H68&amp;"")</f>
        <v/>
      </c>
      <c r="D75" s="31">
        <f>IF($A75="","",IF(ISNUMBER('案件'!K68),'案件'!K68,""))</f>
        <v/>
      </c>
      <c r="E75" s="31">
        <f>IF($A75="","",SUM('案件'!L68:O68))</f>
        <v/>
      </c>
      <c r="F75" s="30">
        <f>IF($A75="","",SUM(T75:W75))</f>
        <v/>
      </c>
      <c r="G75" s="49">
        <f>IF($A75="","",F75-E75)</f>
        <v/>
      </c>
      <c r="H75" s="32">
        <f>IF($A75="","",IF(E75&gt;0,F75/E75,"－"))</f>
        <v/>
      </c>
      <c r="I75" s="54">
        <f>IF($A75="","",IF(F75=0,"",IF(E75&lt;=0,"予定なし",IF(F75&gt;E75,"超過",IF(AND(C75&lt;&gt;"完了",C75&lt;&gt;"中止",ISNUMBER('設定'!$B$6),'設定'!$B$6&gt;0,F75/E75&gt;='設定'!$B$6),"注意","予定内")))))</f>
        <v/>
      </c>
      <c r="J75" s="31">
        <f>IF($A75="","",IF(OR(C75="完了",C75="中止"),F75,MAX(T75,N('案件'!L68))+MAX(U75,N('案件'!M68))+MAX(V75,N('案件'!N68))+MAX(W75,N('案件'!O68))))</f>
        <v/>
      </c>
      <c r="K75" s="31">
        <f>IF(OR($A75="",NOT(ISNUMBER(D75))),"",D75-E75)</f>
        <v/>
      </c>
      <c r="L75" s="30">
        <f>IF(OR($A75="",NOT(ISNUMBER(D75))),"",D75-J75)</f>
        <v/>
      </c>
      <c r="M75" s="32">
        <f>IF(K75="","",IF(D75&gt;0,K75/D75,"－"))</f>
        <v/>
      </c>
      <c r="N75" s="55">
        <f>IF(L75="","",IF(D75&gt;0,L75/D75,"－"))</f>
        <v/>
      </c>
      <c r="O75" s="50">
        <f>IF(AND(ISNUMBER(M75),ISNUMBER(N75)),(N75-M75)*100,IF($A75="","","－"))</f>
        <v/>
      </c>
      <c r="P75" s="49">
        <f>IF($A75="","",T75-N('案件'!L68))</f>
        <v/>
      </c>
      <c r="Q75" s="49">
        <f>IF($A75="","",U75-N('案件'!M68))</f>
        <v/>
      </c>
      <c r="R75" s="49">
        <f>IF($A75="","",V75-N('案件'!N68))</f>
        <v/>
      </c>
      <c r="S75" s="49">
        <f>IF($A75="","",W75-N('案件'!O68))</f>
        <v/>
      </c>
      <c r="T75" s="94">
        <f>IF($A75="","",SUMIFS('原価明細'!$K$5:$K$1504,'原価明細'!$B$5:$B$1504,$A75,'原価明細'!$D$5:$D$1504,"材料費"))</f>
        <v/>
      </c>
      <c r="U75" s="94">
        <f>IF($A75="","",SUMIFS('原価明細'!$K$5:$K$1504,'原価明細'!$B$5:$B$1504,$A75,'原価明細'!$D$5:$D$1504,"労務費"))</f>
        <v/>
      </c>
      <c r="V75" s="94">
        <f>IF($A75="","",SUMIFS('原価明細'!$K$5:$K$1504,'原価明細'!$B$5:$B$1504,$A75,'原価明細'!$D$5:$D$1504,"外注費"))</f>
        <v/>
      </c>
      <c r="W75" s="94">
        <f>IF($A75="","",SUMIFS('原価明細'!$K$5:$K$1504,'原価明細'!$B$5:$B$1504,$A75,'原価明細'!$D$5:$D$1504,"経費"))</f>
        <v/>
      </c>
      <c r="X75" s="95">
        <f>IF($A75="","",IF(ISNUMBER('案件'!G68),'案件'!G68,""))</f>
        <v/>
      </c>
      <c r="Y75" s="91">
        <f>IF($A75="",0,1)</f>
        <v/>
      </c>
    </row>
    <row r="76" ht="17" customHeight="1">
      <c r="A76" s="53">
        <f>IF('案件'!A69="","",'案件'!A69)</f>
        <v/>
      </c>
      <c r="B76" s="37">
        <f>IF($A76="","",'案件'!B69&amp;"")</f>
        <v/>
      </c>
      <c r="C76" s="53">
        <f>IF($A76="","",'案件'!H69&amp;"")</f>
        <v/>
      </c>
      <c r="D76" s="31">
        <f>IF($A76="","",IF(ISNUMBER('案件'!K69),'案件'!K69,""))</f>
        <v/>
      </c>
      <c r="E76" s="31">
        <f>IF($A76="","",SUM('案件'!L69:O69))</f>
        <v/>
      </c>
      <c r="F76" s="30">
        <f>IF($A76="","",SUM(T76:W76))</f>
        <v/>
      </c>
      <c r="G76" s="49">
        <f>IF($A76="","",F76-E76)</f>
        <v/>
      </c>
      <c r="H76" s="32">
        <f>IF($A76="","",IF(E76&gt;0,F76/E76,"－"))</f>
        <v/>
      </c>
      <c r="I76" s="54">
        <f>IF($A76="","",IF(F76=0,"",IF(E76&lt;=0,"予定なし",IF(F76&gt;E76,"超過",IF(AND(C76&lt;&gt;"完了",C76&lt;&gt;"中止",ISNUMBER('設定'!$B$6),'設定'!$B$6&gt;0,F76/E76&gt;='設定'!$B$6),"注意","予定内")))))</f>
        <v/>
      </c>
      <c r="J76" s="31">
        <f>IF($A76="","",IF(OR(C76="完了",C76="中止"),F76,MAX(T76,N('案件'!L69))+MAX(U76,N('案件'!M69))+MAX(V76,N('案件'!N69))+MAX(W76,N('案件'!O69))))</f>
        <v/>
      </c>
      <c r="K76" s="31">
        <f>IF(OR($A76="",NOT(ISNUMBER(D76))),"",D76-E76)</f>
        <v/>
      </c>
      <c r="L76" s="30">
        <f>IF(OR($A76="",NOT(ISNUMBER(D76))),"",D76-J76)</f>
        <v/>
      </c>
      <c r="M76" s="32">
        <f>IF(K76="","",IF(D76&gt;0,K76/D76,"－"))</f>
        <v/>
      </c>
      <c r="N76" s="55">
        <f>IF(L76="","",IF(D76&gt;0,L76/D76,"－"))</f>
        <v/>
      </c>
      <c r="O76" s="50">
        <f>IF(AND(ISNUMBER(M76),ISNUMBER(N76)),(N76-M76)*100,IF($A76="","","－"))</f>
        <v/>
      </c>
      <c r="P76" s="49">
        <f>IF($A76="","",T76-N('案件'!L69))</f>
        <v/>
      </c>
      <c r="Q76" s="49">
        <f>IF($A76="","",U76-N('案件'!M69))</f>
        <v/>
      </c>
      <c r="R76" s="49">
        <f>IF($A76="","",V76-N('案件'!N69))</f>
        <v/>
      </c>
      <c r="S76" s="49">
        <f>IF($A76="","",W76-N('案件'!O69))</f>
        <v/>
      </c>
      <c r="T76" s="94">
        <f>IF($A76="","",SUMIFS('原価明細'!$K$5:$K$1504,'原価明細'!$B$5:$B$1504,$A76,'原価明細'!$D$5:$D$1504,"材料費"))</f>
        <v/>
      </c>
      <c r="U76" s="94">
        <f>IF($A76="","",SUMIFS('原価明細'!$K$5:$K$1504,'原価明細'!$B$5:$B$1504,$A76,'原価明細'!$D$5:$D$1504,"労務費"))</f>
        <v/>
      </c>
      <c r="V76" s="94">
        <f>IF($A76="","",SUMIFS('原価明細'!$K$5:$K$1504,'原価明細'!$B$5:$B$1504,$A76,'原価明細'!$D$5:$D$1504,"外注費"))</f>
        <v/>
      </c>
      <c r="W76" s="94">
        <f>IF($A76="","",SUMIFS('原価明細'!$K$5:$K$1504,'原価明細'!$B$5:$B$1504,$A76,'原価明細'!$D$5:$D$1504,"経費"))</f>
        <v/>
      </c>
      <c r="X76" s="95">
        <f>IF($A76="","",IF(ISNUMBER('案件'!G69),'案件'!G69,""))</f>
        <v/>
      </c>
      <c r="Y76" s="91">
        <f>IF($A76="",0,1)</f>
        <v/>
      </c>
    </row>
    <row r="77" ht="17" customHeight="1">
      <c r="A77" s="53">
        <f>IF('案件'!A70="","",'案件'!A70)</f>
        <v/>
      </c>
      <c r="B77" s="37">
        <f>IF($A77="","",'案件'!B70&amp;"")</f>
        <v/>
      </c>
      <c r="C77" s="53">
        <f>IF($A77="","",'案件'!H70&amp;"")</f>
        <v/>
      </c>
      <c r="D77" s="31">
        <f>IF($A77="","",IF(ISNUMBER('案件'!K70),'案件'!K70,""))</f>
        <v/>
      </c>
      <c r="E77" s="31">
        <f>IF($A77="","",SUM('案件'!L70:O70))</f>
        <v/>
      </c>
      <c r="F77" s="30">
        <f>IF($A77="","",SUM(T77:W77))</f>
        <v/>
      </c>
      <c r="G77" s="49">
        <f>IF($A77="","",F77-E77)</f>
        <v/>
      </c>
      <c r="H77" s="32">
        <f>IF($A77="","",IF(E77&gt;0,F77/E77,"－"))</f>
        <v/>
      </c>
      <c r="I77" s="54">
        <f>IF($A77="","",IF(F77=0,"",IF(E77&lt;=0,"予定なし",IF(F77&gt;E77,"超過",IF(AND(C77&lt;&gt;"完了",C77&lt;&gt;"中止",ISNUMBER('設定'!$B$6),'設定'!$B$6&gt;0,F77/E77&gt;='設定'!$B$6),"注意","予定内")))))</f>
        <v/>
      </c>
      <c r="J77" s="31">
        <f>IF($A77="","",IF(OR(C77="完了",C77="中止"),F77,MAX(T77,N('案件'!L70))+MAX(U77,N('案件'!M70))+MAX(V77,N('案件'!N70))+MAX(W77,N('案件'!O70))))</f>
        <v/>
      </c>
      <c r="K77" s="31">
        <f>IF(OR($A77="",NOT(ISNUMBER(D77))),"",D77-E77)</f>
        <v/>
      </c>
      <c r="L77" s="30">
        <f>IF(OR($A77="",NOT(ISNUMBER(D77))),"",D77-J77)</f>
        <v/>
      </c>
      <c r="M77" s="32">
        <f>IF(K77="","",IF(D77&gt;0,K77/D77,"－"))</f>
        <v/>
      </c>
      <c r="N77" s="55">
        <f>IF(L77="","",IF(D77&gt;0,L77/D77,"－"))</f>
        <v/>
      </c>
      <c r="O77" s="50">
        <f>IF(AND(ISNUMBER(M77),ISNUMBER(N77)),(N77-M77)*100,IF($A77="","","－"))</f>
        <v/>
      </c>
      <c r="P77" s="49">
        <f>IF($A77="","",T77-N('案件'!L70))</f>
        <v/>
      </c>
      <c r="Q77" s="49">
        <f>IF($A77="","",U77-N('案件'!M70))</f>
        <v/>
      </c>
      <c r="R77" s="49">
        <f>IF($A77="","",V77-N('案件'!N70))</f>
        <v/>
      </c>
      <c r="S77" s="49">
        <f>IF($A77="","",W77-N('案件'!O70))</f>
        <v/>
      </c>
      <c r="T77" s="94">
        <f>IF($A77="","",SUMIFS('原価明細'!$K$5:$K$1504,'原価明細'!$B$5:$B$1504,$A77,'原価明細'!$D$5:$D$1504,"材料費"))</f>
        <v/>
      </c>
      <c r="U77" s="94">
        <f>IF($A77="","",SUMIFS('原価明細'!$K$5:$K$1504,'原価明細'!$B$5:$B$1504,$A77,'原価明細'!$D$5:$D$1504,"労務費"))</f>
        <v/>
      </c>
      <c r="V77" s="94">
        <f>IF($A77="","",SUMIFS('原価明細'!$K$5:$K$1504,'原価明細'!$B$5:$B$1504,$A77,'原価明細'!$D$5:$D$1504,"外注費"))</f>
        <v/>
      </c>
      <c r="W77" s="94">
        <f>IF($A77="","",SUMIFS('原価明細'!$K$5:$K$1504,'原価明細'!$B$5:$B$1504,$A77,'原価明細'!$D$5:$D$1504,"経費"))</f>
        <v/>
      </c>
      <c r="X77" s="95">
        <f>IF($A77="","",IF(ISNUMBER('案件'!G70),'案件'!G70,""))</f>
        <v/>
      </c>
      <c r="Y77" s="91">
        <f>IF($A77="",0,1)</f>
        <v/>
      </c>
    </row>
    <row r="78" ht="17" customHeight="1">
      <c r="A78" s="53">
        <f>IF('案件'!A71="","",'案件'!A71)</f>
        <v/>
      </c>
      <c r="B78" s="37">
        <f>IF($A78="","",'案件'!B71&amp;"")</f>
        <v/>
      </c>
      <c r="C78" s="53">
        <f>IF($A78="","",'案件'!H71&amp;"")</f>
        <v/>
      </c>
      <c r="D78" s="31">
        <f>IF($A78="","",IF(ISNUMBER('案件'!K71),'案件'!K71,""))</f>
        <v/>
      </c>
      <c r="E78" s="31">
        <f>IF($A78="","",SUM('案件'!L71:O71))</f>
        <v/>
      </c>
      <c r="F78" s="30">
        <f>IF($A78="","",SUM(T78:W78))</f>
        <v/>
      </c>
      <c r="G78" s="49">
        <f>IF($A78="","",F78-E78)</f>
        <v/>
      </c>
      <c r="H78" s="32">
        <f>IF($A78="","",IF(E78&gt;0,F78/E78,"－"))</f>
        <v/>
      </c>
      <c r="I78" s="54">
        <f>IF($A78="","",IF(F78=0,"",IF(E78&lt;=0,"予定なし",IF(F78&gt;E78,"超過",IF(AND(C78&lt;&gt;"完了",C78&lt;&gt;"中止",ISNUMBER('設定'!$B$6),'設定'!$B$6&gt;0,F78/E78&gt;='設定'!$B$6),"注意","予定内")))))</f>
        <v/>
      </c>
      <c r="J78" s="31">
        <f>IF($A78="","",IF(OR(C78="完了",C78="中止"),F78,MAX(T78,N('案件'!L71))+MAX(U78,N('案件'!M71))+MAX(V78,N('案件'!N71))+MAX(W78,N('案件'!O71))))</f>
        <v/>
      </c>
      <c r="K78" s="31">
        <f>IF(OR($A78="",NOT(ISNUMBER(D78))),"",D78-E78)</f>
        <v/>
      </c>
      <c r="L78" s="30">
        <f>IF(OR($A78="",NOT(ISNUMBER(D78))),"",D78-J78)</f>
        <v/>
      </c>
      <c r="M78" s="32">
        <f>IF(K78="","",IF(D78&gt;0,K78/D78,"－"))</f>
        <v/>
      </c>
      <c r="N78" s="55">
        <f>IF(L78="","",IF(D78&gt;0,L78/D78,"－"))</f>
        <v/>
      </c>
      <c r="O78" s="50">
        <f>IF(AND(ISNUMBER(M78),ISNUMBER(N78)),(N78-M78)*100,IF($A78="","","－"))</f>
        <v/>
      </c>
      <c r="P78" s="49">
        <f>IF($A78="","",T78-N('案件'!L71))</f>
        <v/>
      </c>
      <c r="Q78" s="49">
        <f>IF($A78="","",U78-N('案件'!M71))</f>
        <v/>
      </c>
      <c r="R78" s="49">
        <f>IF($A78="","",V78-N('案件'!N71))</f>
        <v/>
      </c>
      <c r="S78" s="49">
        <f>IF($A78="","",W78-N('案件'!O71))</f>
        <v/>
      </c>
      <c r="T78" s="94">
        <f>IF($A78="","",SUMIFS('原価明細'!$K$5:$K$1504,'原価明細'!$B$5:$B$1504,$A78,'原価明細'!$D$5:$D$1504,"材料費"))</f>
        <v/>
      </c>
      <c r="U78" s="94">
        <f>IF($A78="","",SUMIFS('原価明細'!$K$5:$K$1504,'原価明細'!$B$5:$B$1504,$A78,'原価明細'!$D$5:$D$1504,"労務費"))</f>
        <v/>
      </c>
      <c r="V78" s="94">
        <f>IF($A78="","",SUMIFS('原価明細'!$K$5:$K$1504,'原価明細'!$B$5:$B$1504,$A78,'原価明細'!$D$5:$D$1504,"外注費"))</f>
        <v/>
      </c>
      <c r="W78" s="94">
        <f>IF($A78="","",SUMIFS('原価明細'!$K$5:$K$1504,'原価明細'!$B$5:$B$1504,$A78,'原価明細'!$D$5:$D$1504,"経費"))</f>
        <v/>
      </c>
      <c r="X78" s="95">
        <f>IF($A78="","",IF(ISNUMBER('案件'!G71),'案件'!G71,""))</f>
        <v/>
      </c>
      <c r="Y78" s="91">
        <f>IF($A78="",0,1)</f>
        <v/>
      </c>
    </row>
    <row r="79" ht="17" customHeight="1">
      <c r="A79" s="53">
        <f>IF('案件'!A72="","",'案件'!A72)</f>
        <v/>
      </c>
      <c r="B79" s="37">
        <f>IF($A79="","",'案件'!B72&amp;"")</f>
        <v/>
      </c>
      <c r="C79" s="53">
        <f>IF($A79="","",'案件'!H72&amp;"")</f>
        <v/>
      </c>
      <c r="D79" s="31">
        <f>IF($A79="","",IF(ISNUMBER('案件'!K72),'案件'!K72,""))</f>
        <v/>
      </c>
      <c r="E79" s="31">
        <f>IF($A79="","",SUM('案件'!L72:O72))</f>
        <v/>
      </c>
      <c r="F79" s="30">
        <f>IF($A79="","",SUM(T79:W79))</f>
        <v/>
      </c>
      <c r="G79" s="49">
        <f>IF($A79="","",F79-E79)</f>
        <v/>
      </c>
      <c r="H79" s="32">
        <f>IF($A79="","",IF(E79&gt;0,F79/E79,"－"))</f>
        <v/>
      </c>
      <c r="I79" s="54">
        <f>IF($A79="","",IF(F79=0,"",IF(E79&lt;=0,"予定なし",IF(F79&gt;E79,"超過",IF(AND(C79&lt;&gt;"完了",C79&lt;&gt;"中止",ISNUMBER('設定'!$B$6),'設定'!$B$6&gt;0,F79/E79&gt;='設定'!$B$6),"注意","予定内")))))</f>
        <v/>
      </c>
      <c r="J79" s="31">
        <f>IF($A79="","",IF(OR(C79="完了",C79="中止"),F79,MAX(T79,N('案件'!L72))+MAX(U79,N('案件'!M72))+MAX(V79,N('案件'!N72))+MAX(W79,N('案件'!O72))))</f>
        <v/>
      </c>
      <c r="K79" s="31">
        <f>IF(OR($A79="",NOT(ISNUMBER(D79))),"",D79-E79)</f>
        <v/>
      </c>
      <c r="L79" s="30">
        <f>IF(OR($A79="",NOT(ISNUMBER(D79))),"",D79-J79)</f>
        <v/>
      </c>
      <c r="M79" s="32">
        <f>IF(K79="","",IF(D79&gt;0,K79/D79,"－"))</f>
        <v/>
      </c>
      <c r="N79" s="55">
        <f>IF(L79="","",IF(D79&gt;0,L79/D79,"－"))</f>
        <v/>
      </c>
      <c r="O79" s="50">
        <f>IF(AND(ISNUMBER(M79),ISNUMBER(N79)),(N79-M79)*100,IF($A79="","","－"))</f>
        <v/>
      </c>
      <c r="P79" s="49">
        <f>IF($A79="","",T79-N('案件'!L72))</f>
        <v/>
      </c>
      <c r="Q79" s="49">
        <f>IF($A79="","",U79-N('案件'!M72))</f>
        <v/>
      </c>
      <c r="R79" s="49">
        <f>IF($A79="","",V79-N('案件'!N72))</f>
        <v/>
      </c>
      <c r="S79" s="49">
        <f>IF($A79="","",W79-N('案件'!O72))</f>
        <v/>
      </c>
      <c r="T79" s="94">
        <f>IF($A79="","",SUMIFS('原価明細'!$K$5:$K$1504,'原価明細'!$B$5:$B$1504,$A79,'原価明細'!$D$5:$D$1504,"材料費"))</f>
        <v/>
      </c>
      <c r="U79" s="94">
        <f>IF($A79="","",SUMIFS('原価明細'!$K$5:$K$1504,'原価明細'!$B$5:$B$1504,$A79,'原価明細'!$D$5:$D$1504,"労務費"))</f>
        <v/>
      </c>
      <c r="V79" s="94">
        <f>IF($A79="","",SUMIFS('原価明細'!$K$5:$K$1504,'原価明細'!$B$5:$B$1504,$A79,'原価明細'!$D$5:$D$1504,"外注費"))</f>
        <v/>
      </c>
      <c r="W79" s="94">
        <f>IF($A79="","",SUMIFS('原価明細'!$K$5:$K$1504,'原価明細'!$B$5:$B$1504,$A79,'原価明細'!$D$5:$D$1504,"経費"))</f>
        <v/>
      </c>
      <c r="X79" s="95">
        <f>IF($A79="","",IF(ISNUMBER('案件'!G72),'案件'!G72,""))</f>
        <v/>
      </c>
      <c r="Y79" s="91">
        <f>IF($A79="",0,1)</f>
        <v/>
      </c>
    </row>
    <row r="80" ht="17" customHeight="1">
      <c r="A80" s="53">
        <f>IF('案件'!A73="","",'案件'!A73)</f>
        <v/>
      </c>
      <c r="B80" s="37">
        <f>IF($A80="","",'案件'!B73&amp;"")</f>
        <v/>
      </c>
      <c r="C80" s="53">
        <f>IF($A80="","",'案件'!H73&amp;"")</f>
        <v/>
      </c>
      <c r="D80" s="31">
        <f>IF($A80="","",IF(ISNUMBER('案件'!K73),'案件'!K73,""))</f>
        <v/>
      </c>
      <c r="E80" s="31">
        <f>IF($A80="","",SUM('案件'!L73:O73))</f>
        <v/>
      </c>
      <c r="F80" s="30">
        <f>IF($A80="","",SUM(T80:W80))</f>
        <v/>
      </c>
      <c r="G80" s="49">
        <f>IF($A80="","",F80-E80)</f>
        <v/>
      </c>
      <c r="H80" s="32">
        <f>IF($A80="","",IF(E80&gt;0,F80/E80,"－"))</f>
        <v/>
      </c>
      <c r="I80" s="54">
        <f>IF($A80="","",IF(F80=0,"",IF(E80&lt;=0,"予定なし",IF(F80&gt;E80,"超過",IF(AND(C80&lt;&gt;"完了",C80&lt;&gt;"中止",ISNUMBER('設定'!$B$6),'設定'!$B$6&gt;0,F80/E80&gt;='設定'!$B$6),"注意","予定内")))))</f>
        <v/>
      </c>
      <c r="J80" s="31">
        <f>IF($A80="","",IF(OR(C80="完了",C80="中止"),F80,MAX(T80,N('案件'!L73))+MAX(U80,N('案件'!M73))+MAX(V80,N('案件'!N73))+MAX(W80,N('案件'!O73))))</f>
        <v/>
      </c>
      <c r="K80" s="31">
        <f>IF(OR($A80="",NOT(ISNUMBER(D80))),"",D80-E80)</f>
        <v/>
      </c>
      <c r="L80" s="30">
        <f>IF(OR($A80="",NOT(ISNUMBER(D80))),"",D80-J80)</f>
        <v/>
      </c>
      <c r="M80" s="32">
        <f>IF(K80="","",IF(D80&gt;0,K80/D80,"－"))</f>
        <v/>
      </c>
      <c r="N80" s="55">
        <f>IF(L80="","",IF(D80&gt;0,L80/D80,"－"))</f>
        <v/>
      </c>
      <c r="O80" s="50">
        <f>IF(AND(ISNUMBER(M80),ISNUMBER(N80)),(N80-M80)*100,IF($A80="","","－"))</f>
        <v/>
      </c>
      <c r="P80" s="49">
        <f>IF($A80="","",T80-N('案件'!L73))</f>
        <v/>
      </c>
      <c r="Q80" s="49">
        <f>IF($A80="","",U80-N('案件'!M73))</f>
        <v/>
      </c>
      <c r="R80" s="49">
        <f>IF($A80="","",V80-N('案件'!N73))</f>
        <v/>
      </c>
      <c r="S80" s="49">
        <f>IF($A80="","",W80-N('案件'!O73))</f>
        <v/>
      </c>
      <c r="T80" s="94">
        <f>IF($A80="","",SUMIFS('原価明細'!$K$5:$K$1504,'原価明細'!$B$5:$B$1504,$A80,'原価明細'!$D$5:$D$1504,"材料費"))</f>
        <v/>
      </c>
      <c r="U80" s="94">
        <f>IF($A80="","",SUMIFS('原価明細'!$K$5:$K$1504,'原価明細'!$B$5:$B$1504,$A80,'原価明細'!$D$5:$D$1504,"労務費"))</f>
        <v/>
      </c>
      <c r="V80" s="94">
        <f>IF($A80="","",SUMIFS('原価明細'!$K$5:$K$1504,'原価明細'!$B$5:$B$1504,$A80,'原価明細'!$D$5:$D$1504,"外注費"))</f>
        <v/>
      </c>
      <c r="W80" s="94">
        <f>IF($A80="","",SUMIFS('原価明細'!$K$5:$K$1504,'原価明細'!$B$5:$B$1504,$A80,'原価明細'!$D$5:$D$1504,"経費"))</f>
        <v/>
      </c>
      <c r="X80" s="95">
        <f>IF($A80="","",IF(ISNUMBER('案件'!G73),'案件'!G73,""))</f>
        <v/>
      </c>
      <c r="Y80" s="91">
        <f>IF($A80="",0,1)</f>
        <v/>
      </c>
    </row>
    <row r="81" ht="17" customHeight="1">
      <c r="A81" s="53">
        <f>IF('案件'!A74="","",'案件'!A74)</f>
        <v/>
      </c>
      <c r="B81" s="37">
        <f>IF($A81="","",'案件'!B74&amp;"")</f>
        <v/>
      </c>
      <c r="C81" s="53">
        <f>IF($A81="","",'案件'!H74&amp;"")</f>
        <v/>
      </c>
      <c r="D81" s="31">
        <f>IF($A81="","",IF(ISNUMBER('案件'!K74),'案件'!K74,""))</f>
        <v/>
      </c>
      <c r="E81" s="31">
        <f>IF($A81="","",SUM('案件'!L74:O74))</f>
        <v/>
      </c>
      <c r="F81" s="30">
        <f>IF($A81="","",SUM(T81:W81))</f>
        <v/>
      </c>
      <c r="G81" s="49">
        <f>IF($A81="","",F81-E81)</f>
        <v/>
      </c>
      <c r="H81" s="32">
        <f>IF($A81="","",IF(E81&gt;0,F81/E81,"－"))</f>
        <v/>
      </c>
      <c r="I81" s="54">
        <f>IF($A81="","",IF(F81=0,"",IF(E81&lt;=0,"予定なし",IF(F81&gt;E81,"超過",IF(AND(C81&lt;&gt;"完了",C81&lt;&gt;"中止",ISNUMBER('設定'!$B$6),'設定'!$B$6&gt;0,F81/E81&gt;='設定'!$B$6),"注意","予定内")))))</f>
        <v/>
      </c>
      <c r="J81" s="31">
        <f>IF($A81="","",IF(OR(C81="完了",C81="中止"),F81,MAX(T81,N('案件'!L74))+MAX(U81,N('案件'!M74))+MAX(V81,N('案件'!N74))+MAX(W81,N('案件'!O74))))</f>
        <v/>
      </c>
      <c r="K81" s="31">
        <f>IF(OR($A81="",NOT(ISNUMBER(D81))),"",D81-E81)</f>
        <v/>
      </c>
      <c r="L81" s="30">
        <f>IF(OR($A81="",NOT(ISNUMBER(D81))),"",D81-J81)</f>
        <v/>
      </c>
      <c r="M81" s="32">
        <f>IF(K81="","",IF(D81&gt;0,K81/D81,"－"))</f>
        <v/>
      </c>
      <c r="N81" s="55">
        <f>IF(L81="","",IF(D81&gt;0,L81/D81,"－"))</f>
        <v/>
      </c>
      <c r="O81" s="50">
        <f>IF(AND(ISNUMBER(M81),ISNUMBER(N81)),(N81-M81)*100,IF($A81="","","－"))</f>
        <v/>
      </c>
      <c r="P81" s="49">
        <f>IF($A81="","",T81-N('案件'!L74))</f>
        <v/>
      </c>
      <c r="Q81" s="49">
        <f>IF($A81="","",U81-N('案件'!M74))</f>
        <v/>
      </c>
      <c r="R81" s="49">
        <f>IF($A81="","",V81-N('案件'!N74))</f>
        <v/>
      </c>
      <c r="S81" s="49">
        <f>IF($A81="","",W81-N('案件'!O74))</f>
        <v/>
      </c>
      <c r="T81" s="94">
        <f>IF($A81="","",SUMIFS('原価明細'!$K$5:$K$1504,'原価明細'!$B$5:$B$1504,$A81,'原価明細'!$D$5:$D$1504,"材料費"))</f>
        <v/>
      </c>
      <c r="U81" s="94">
        <f>IF($A81="","",SUMIFS('原価明細'!$K$5:$K$1504,'原価明細'!$B$5:$B$1504,$A81,'原価明細'!$D$5:$D$1504,"労務費"))</f>
        <v/>
      </c>
      <c r="V81" s="94">
        <f>IF($A81="","",SUMIFS('原価明細'!$K$5:$K$1504,'原価明細'!$B$5:$B$1504,$A81,'原価明細'!$D$5:$D$1504,"外注費"))</f>
        <v/>
      </c>
      <c r="W81" s="94">
        <f>IF($A81="","",SUMIFS('原価明細'!$K$5:$K$1504,'原価明細'!$B$5:$B$1504,$A81,'原価明細'!$D$5:$D$1504,"経費"))</f>
        <v/>
      </c>
      <c r="X81" s="95">
        <f>IF($A81="","",IF(ISNUMBER('案件'!G74),'案件'!G74,""))</f>
        <v/>
      </c>
      <c r="Y81" s="91">
        <f>IF($A81="",0,1)</f>
        <v/>
      </c>
    </row>
    <row r="82" ht="17" customHeight="1">
      <c r="A82" s="53">
        <f>IF('案件'!A75="","",'案件'!A75)</f>
        <v/>
      </c>
      <c r="B82" s="37">
        <f>IF($A82="","",'案件'!B75&amp;"")</f>
        <v/>
      </c>
      <c r="C82" s="53">
        <f>IF($A82="","",'案件'!H75&amp;"")</f>
        <v/>
      </c>
      <c r="D82" s="31">
        <f>IF($A82="","",IF(ISNUMBER('案件'!K75),'案件'!K75,""))</f>
        <v/>
      </c>
      <c r="E82" s="31">
        <f>IF($A82="","",SUM('案件'!L75:O75))</f>
        <v/>
      </c>
      <c r="F82" s="30">
        <f>IF($A82="","",SUM(T82:W82))</f>
        <v/>
      </c>
      <c r="G82" s="49">
        <f>IF($A82="","",F82-E82)</f>
        <v/>
      </c>
      <c r="H82" s="32">
        <f>IF($A82="","",IF(E82&gt;0,F82/E82,"－"))</f>
        <v/>
      </c>
      <c r="I82" s="54">
        <f>IF($A82="","",IF(F82=0,"",IF(E82&lt;=0,"予定なし",IF(F82&gt;E82,"超過",IF(AND(C82&lt;&gt;"完了",C82&lt;&gt;"中止",ISNUMBER('設定'!$B$6),'設定'!$B$6&gt;0,F82/E82&gt;='設定'!$B$6),"注意","予定内")))))</f>
        <v/>
      </c>
      <c r="J82" s="31">
        <f>IF($A82="","",IF(OR(C82="完了",C82="中止"),F82,MAX(T82,N('案件'!L75))+MAX(U82,N('案件'!M75))+MAX(V82,N('案件'!N75))+MAX(W82,N('案件'!O75))))</f>
        <v/>
      </c>
      <c r="K82" s="31">
        <f>IF(OR($A82="",NOT(ISNUMBER(D82))),"",D82-E82)</f>
        <v/>
      </c>
      <c r="L82" s="30">
        <f>IF(OR($A82="",NOT(ISNUMBER(D82))),"",D82-J82)</f>
        <v/>
      </c>
      <c r="M82" s="32">
        <f>IF(K82="","",IF(D82&gt;0,K82/D82,"－"))</f>
        <v/>
      </c>
      <c r="N82" s="55">
        <f>IF(L82="","",IF(D82&gt;0,L82/D82,"－"))</f>
        <v/>
      </c>
      <c r="O82" s="50">
        <f>IF(AND(ISNUMBER(M82),ISNUMBER(N82)),(N82-M82)*100,IF($A82="","","－"))</f>
        <v/>
      </c>
      <c r="P82" s="49">
        <f>IF($A82="","",T82-N('案件'!L75))</f>
        <v/>
      </c>
      <c r="Q82" s="49">
        <f>IF($A82="","",U82-N('案件'!M75))</f>
        <v/>
      </c>
      <c r="R82" s="49">
        <f>IF($A82="","",V82-N('案件'!N75))</f>
        <v/>
      </c>
      <c r="S82" s="49">
        <f>IF($A82="","",W82-N('案件'!O75))</f>
        <v/>
      </c>
      <c r="T82" s="94">
        <f>IF($A82="","",SUMIFS('原価明細'!$K$5:$K$1504,'原価明細'!$B$5:$B$1504,$A82,'原価明細'!$D$5:$D$1504,"材料費"))</f>
        <v/>
      </c>
      <c r="U82" s="94">
        <f>IF($A82="","",SUMIFS('原価明細'!$K$5:$K$1504,'原価明細'!$B$5:$B$1504,$A82,'原価明細'!$D$5:$D$1504,"労務費"))</f>
        <v/>
      </c>
      <c r="V82" s="94">
        <f>IF($A82="","",SUMIFS('原価明細'!$K$5:$K$1504,'原価明細'!$B$5:$B$1504,$A82,'原価明細'!$D$5:$D$1504,"外注費"))</f>
        <v/>
      </c>
      <c r="W82" s="94">
        <f>IF($A82="","",SUMIFS('原価明細'!$K$5:$K$1504,'原価明細'!$B$5:$B$1504,$A82,'原価明細'!$D$5:$D$1504,"経費"))</f>
        <v/>
      </c>
      <c r="X82" s="95">
        <f>IF($A82="","",IF(ISNUMBER('案件'!G75),'案件'!G75,""))</f>
        <v/>
      </c>
      <c r="Y82" s="91">
        <f>IF($A82="",0,1)</f>
        <v/>
      </c>
    </row>
    <row r="83" ht="17" customHeight="1">
      <c r="A83" s="53">
        <f>IF('案件'!A76="","",'案件'!A76)</f>
        <v/>
      </c>
      <c r="B83" s="37">
        <f>IF($A83="","",'案件'!B76&amp;"")</f>
        <v/>
      </c>
      <c r="C83" s="53">
        <f>IF($A83="","",'案件'!H76&amp;"")</f>
        <v/>
      </c>
      <c r="D83" s="31">
        <f>IF($A83="","",IF(ISNUMBER('案件'!K76),'案件'!K76,""))</f>
        <v/>
      </c>
      <c r="E83" s="31">
        <f>IF($A83="","",SUM('案件'!L76:O76))</f>
        <v/>
      </c>
      <c r="F83" s="30">
        <f>IF($A83="","",SUM(T83:W83))</f>
        <v/>
      </c>
      <c r="G83" s="49">
        <f>IF($A83="","",F83-E83)</f>
        <v/>
      </c>
      <c r="H83" s="32">
        <f>IF($A83="","",IF(E83&gt;0,F83/E83,"－"))</f>
        <v/>
      </c>
      <c r="I83" s="54">
        <f>IF($A83="","",IF(F83=0,"",IF(E83&lt;=0,"予定なし",IF(F83&gt;E83,"超過",IF(AND(C83&lt;&gt;"完了",C83&lt;&gt;"中止",ISNUMBER('設定'!$B$6),'設定'!$B$6&gt;0,F83/E83&gt;='設定'!$B$6),"注意","予定内")))))</f>
        <v/>
      </c>
      <c r="J83" s="31">
        <f>IF($A83="","",IF(OR(C83="完了",C83="中止"),F83,MAX(T83,N('案件'!L76))+MAX(U83,N('案件'!M76))+MAX(V83,N('案件'!N76))+MAX(W83,N('案件'!O76))))</f>
        <v/>
      </c>
      <c r="K83" s="31">
        <f>IF(OR($A83="",NOT(ISNUMBER(D83))),"",D83-E83)</f>
        <v/>
      </c>
      <c r="L83" s="30">
        <f>IF(OR($A83="",NOT(ISNUMBER(D83))),"",D83-J83)</f>
        <v/>
      </c>
      <c r="M83" s="32">
        <f>IF(K83="","",IF(D83&gt;0,K83/D83,"－"))</f>
        <v/>
      </c>
      <c r="N83" s="55">
        <f>IF(L83="","",IF(D83&gt;0,L83/D83,"－"))</f>
        <v/>
      </c>
      <c r="O83" s="50">
        <f>IF(AND(ISNUMBER(M83),ISNUMBER(N83)),(N83-M83)*100,IF($A83="","","－"))</f>
        <v/>
      </c>
      <c r="P83" s="49">
        <f>IF($A83="","",T83-N('案件'!L76))</f>
        <v/>
      </c>
      <c r="Q83" s="49">
        <f>IF($A83="","",U83-N('案件'!M76))</f>
        <v/>
      </c>
      <c r="R83" s="49">
        <f>IF($A83="","",V83-N('案件'!N76))</f>
        <v/>
      </c>
      <c r="S83" s="49">
        <f>IF($A83="","",W83-N('案件'!O76))</f>
        <v/>
      </c>
      <c r="T83" s="94">
        <f>IF($A83="","",SUMIFS('原価明細'!$K$5:$K$1504,'原価明細'!$B$5:$B$1504,$A83,'原価明細'!$D$5:$D$1504,"材料費"))</f>
        <v/>
      </c>
      <c r="U83" s="94">
        <f>IF($A83="","",SUMIFS('原価明細'!$K$5:$K$1504,'原価明細'!$B$5:$B$1504,$A83,'原価明細'!$D$5:$D$1504,"労務費"))</f>
        <v/>
      </c>
      <c r="V83" s="94">
        <f>IF($A83="","",SUMIFS('原価明細'!$K$5:$K$1504,'原価明細'!$B$5:$B$1504,$A83,'原価明細'!$D$5:$D$1504,"外注費"))</f>
        <v/>
      </c>
      <c r="W83" s="94">
        <f>IF($A83="","",SUMIFS('原価明細'!$K$5:$K$1504,'原価明細'!$B$5:$B$1504,$A83,'原価明細'!$D$5:$D$1504,"経費"))</f>
        <v/>
      </c>
      <c r="X83" s="95">
        <f>IF($A83="","",IF(ISNUMBER('案件'!G76),'案件'!G76,""))</f>
        <v/>
      </c>
      <c r="Y83" s="91">
        <f>IF($A83="",0,1)</f>
        <v/>
      </c>
    </row>
    <row r="84" ht="17" customHeight="1">
      <c r="A84" s="53">
        <f>IF('案件'!A77="","",'案件'!A77)</f>
        <v/>
      </c>
      <c r="B84" s="37">
        <f>IF($A84="","",'案件'!B77&amp;"")</f>
        <v/>
      </c>
      <c r="C84" s="53">
        <f>IF($A84="","",'案件'!H77&amp;"")</f>
        <v/>
      </c>
      <c r="D84" s="31">
        <f>IF($A84="","",IF(ISNUMBER('案件'!K77),'案件'!K77,""))</f>
        <v/>
      </c>
      <c r="E84" s="31">
        <f>IF($A84="","",SUM('案件'!L77:O77))</f>
        <v/>
      </c>
      <c r="F84" s="30">
        <f>IF($A84="","",SUM(T84:W84))</f>
        <v/>
      </c>
      <c r="G84" s="49">
        <f>IF($A84="","",F84-E84)</f>
        <v/>
      </c>
      <c r="H84" s="32">
        <f>IF($A84="","",IF(E84&gt;0,F84/E84,"－"))</f>
        <v/>
      </c>
      <c r="I84" s="54">
        <f>IF($A84="","",IF(F84=0,"",IF(E84&lt;=0,"予定なし",IF(F84&gt;E84,"超過",IF(AND(C84&lt;&gt;"完了",C84&lt;&gt;"中止",ISNUMBER('設定'!$B$6),'設定'!$B$6&gt;0,F84/E84&gt;='設定'!$B$6),"注意","予定内")))))</f>
        <v/>
      </c>
      <c r="J84" s="31">
        <f>IF($A84="","",IF(OR(C84="完了",C84="中止"),F84,MAX(T84,N('案件'!L77))+MAX(U84,N('案件'!M77))+MAX(V84,N('案件'!N77))+MAX(W84,N('案件'!O77))))</f>
        <v/>
      </c>
      <c r="K84" s="31">
        <f>IF(OR($A84="",NOT(ISNUMBER(D84))),"",D84-E84)</f>
        <v/>
      </c>
      <c r="L84" s="30">
        <f>IF(OR($A84="",NOT(ISNUMBER(D84))),"",D84-J84)</f>
        <v/>
      </c>
      <c r="M84" s="32">
        <f>IF(K84="","",IF(D84&gt;0,K84/D84,"－"))</f>
        <v/>
      </c>
      <c r="N84" s="55">
        <f>IF(L84="","",IF(D84&gt;0,L84/D84,"－"))</f>
        <v/>
      </c>
      <c r="O84" s="50">
        <f>IF(AND(ISNUMBER(M84),ISNUMBER(N84)),(N84-M84)*100,IF($A84="","","－"))</f>
        <v/>
      </c>
      <c r="P84" s="49">
        <f>IF($A84="","",T84-N('案件'!L77))</f>
        <v/>
      </c>
      <c r="Q84" s="49">
        <f>IF($A84="","",U84-N('案件'!M77))</f>
        <v/>
      </c>
      <c r="R84" s="49">
        <f>IF($A84="","",V84-N('案件'!N77))</f>
        <v/>
      </c>
      <c r="S84" s="49">
        <f>IF($A84="","",W84-N('案件'!O77))</f>
        <v/>
      </c>
      <c r="T84" s="94">
        <f>IF($A84="","",SUMIFS('原価明細'!$K$5:$K$1504,'原価明細'!$B$5:$B$1504,$A84,'原価明細'!$D$5:$D$1504,"材料費"))</f>
        <v/>
      </c>
      <c r="U84" s="94">
        <f>IF($A84="","",SUMIFS('原価明細'!$K$5:$K$1504,'原価明細'!$B$5:$B$1504,$A84,'原価明細'!$D$5:$D$1504,"労務費"))</f>
        <v/>
      </c>
      <c r="V84" s="94">
        <f>IF($A84="","",SUMIFS('原価明細'!$K$5:$K$1504,'原価明細'!$B$5:$B$1504,$A84,'原価明細'!$D$5:$D$1504,"外注費"))</f>
        <v/>
      </c>
      <c r="W84" s="94">
        <f>IF($A84="","",SUMIFS('原価明細'!$K$5:$K$1504,'原価明細'!$B$5:$B$1504,$A84,'原価明細'!$D$5:$D$1504,"経費"))</f>
        <v/>
      </c>
      <c r="X84" s="95">
        <f>IF($A84="","",IF(ISNUMBER('案件'!G77),'案件'!G77,""))</f>
        <v/>
      </c>
      <c r="Y84" s="91">
        <f>IF($A84="",0,1)</f>
        <v/>
      </c>
    </row>
    <row r="85" ht="17" customHeight="1">
      <c r="A85" s="53">
        <f>IF('案件'!A78="","",'案件'!A78)</f>
        <v/>
      </c>
      <c r="B85" s="37">
        <f>IF($A85="","",'案件'!B78&amp;"")</f>
        <v/>
      </c>
      <c r="C85" s="53">
        <f>IF($A85="","",'案件'!H78&amp;"")</f>
        <v/>
      </c>
      <c r="D85" s="31">
        <f>IF($A85="","",IF(ISNUMBER('案件'!K78),'案件'!K78,""))</f>
        <v/>
      </c>
      <c r="E85" s="31">
        <f>IF($A85="","",SUM('案件'!L78:O78))</f>
        <v/>
      </c>
      <c r="F85" s="30">
        <f>IF($A85="","",SUM(T85:W85))</f>
        <v/>
      </c>
      <c r="G85" s="49">
        <f>IF($A85="","",F85-E85)</f>
        <v/>
      </c>
      <c r="H85" s="32">
        <f>IF($A85="","",IF(E85&gt;0,F85/E85,"－"))</f>
        <v/>
      </c>
      <c r="I85" s="54">
        <f>IF($A85="","",IF(F85=0,"",IF(E85&lt;=0,"予定なし",IF(F85&gt;E85,"超過",IF(AND(C85&lt;&gt;"完了",C85&lt;&gt;"中止",ISNUMBER('設定'!$B$6),'設定'!$B$6&gt;0,F85/E85&gt;='設定'!$B$6),"注意","予定内")))))</f>
        <v/>
      </c>
      <c r="J85" s="31">
        <f>IF($A85="","",IF(OR(C85="完了",C85="中止"),F85,MAX(T85,N('案件'!L78))+MAX(U85,N('案件'!M78))+MAX(V85,N('案件'!N78))+MAX(W85,N('案件'!O78))))</f>
        <v/>
      </c>
      <c r="K85" s="31">
        <f>IF(OR($A85="",NOT(ISNUMBER(D85))),"",D85-E85)</f>
        <v/>
      </c>
      <c r="L85" s="30">
        <f>IF(OR($A85="",NOT(ISNUMBER(D85))),"",D85-J85)</f>
        <v/>
      </c>
      <c r="M85" s="32">
        <f>IF(K85="","",IF(D85&gt;0,K85/D85,"－"))</f>
        <v/>
      </c>
      <c r="N85" s="55">
        <f>IF(L85="","",IF(D85&gt;0,L85/D85,"－"))</f>
        <v/>
      </c>
      <c r="O85" s="50">
        <f>IF(AND(ISNUMBER(M85),ISNUMBER(N85)),(N85-M85)*100,IF($A85="","","－"))</f>
        <v/>
      </c>
      <c r="P85" s="49">
        <f>IF($A85="","",T85-N('案件'!L78))</f>
        <v/>
      </c>
      <c r="Q85" s="49">
        <f>IF($A85="","",U85-N('案件'!M78))</f>
        <v/>
      </c>
      <c r="R85" s="49">
        <f>IF($A85="","",V85-N('案件'!N78))</f>
        <v/>
      </c>
      <c r="S85" s="49">
        <f>IF($A85="","",W85-N('案件'!O78))</f>
        <v/>
      </c>
      <c r="T85" s="94">
        <f>IF($A85="","",SUMIFS('原価明細'!$K$5:$K$1504,'原価明細'!$B$5:$B$1504,$A85,'原価明細'!$D$5:$D$1504,"材料費"))</f>
        <v/>
      </c>
      <c r="U85" s="94">
        <f>IF($A85="","",SUMIFS('原価明細'!$K$5:$K$1504,'原価明細'!$B$5:$B$1504,$A85,'原価明細'!$D$5:$D$1504,"労務費"))</f>
        <v/>
      </c>
      <c r="V85" s="94">
        <f>IF($A85="","",SUMIFS('原価明細'!$K$5:$K$1504,'原価明細'!$B$5:$B$1504,$A85,'原価明細'!$D$5:$D$1504,"外注費"))</f>
        <v/>
      </c>
      <c r="W85" s="94">
        <f>IF($A85="","",SUMIFS('原価明細'!$K$5:$K$1504,'原価明細'!$B$5:$B$1504,$A85,'原価明細'!$D$5:$D$1504,"経費"))</f>
        <v/>
      </c>
      <c r="X85" s="95">
        <f>IF($A85="","",IF(ISNUMBER('案件'!G78),'案件'!G78,""))</f>
        <v/>
      </c>
      <c r="Y85" s="91">
        <f>IF($A85="",0,1)</f>
        <v/>
      </c>
    </row>
    <row r="86" ht="17" customHeight="1">
      <c r="A86" s="53">
        <f>IF('案件'!A79="","",'案件'!A79)</f>
        <v/>
      </c>
      <c r="B86" s="37">
        <f>IF($A86="","",'案件'!B79&amp;"")</f>
        <v/>
      </c>
      <c r="C86" s="53">
        <f>IF($A86="","",'案件'!H79&amp;"")</f>
        <v/>
      </c>
      <c r="D86" s="31">
        <f>IF($A86="","",IF(ISNUMBER('案件'!K79),'案件'!K79,""))</f>
        <v/>
      </c>
      <c r="E86" s="31">
        <f>IF($A86="","",SUM('案件'!L79:O79))</f>
        <v/>
      </c>
      <c r="F86" s="30">
        <f>IF($A86="","",SUM(T86:W86))</f>
        <v/>
      </c>
      <c r="G86" s="49">
        <f>IF($A86="","",F86-E86)</f>
        <v/>
      </c>
      <c r="H86" s="32">
        <f>IF($A86="","",IF(E86&gt;0,F86/E86,"－"))</f>
        <v/>
      </c>
      <c r="I86" s="54">
        <f>IF($A86="","",IF(F86=0,"",IF(E86&lt;=0,"予定なし",IF(F86&gt;E86,"超過",IF(AND(C86&lt;&gt;"完了",C86&lt;&gt;"中止",ISNUMBER('設定'!$B$6),'設定'!$B$6&gt;0,F86/E86&gt;='設定'!$B$6),"注意","予定内")))))</f>
        <v/>
      </c>
      <c r="J86" s="31">
        <f>IF($A86="","",IF(OR(C86="完了",C86="中止"),F86,MAX(T86,N('案件'!L79))+MAX(U86,N('案件'!M79))+MAX(V86,N('案件'!N79))+MAX(W86,N('案件'!O79))))</f>
        <v/>
      </c>
      <c r="K86" s="31">
        <f>IF(OR($A86="",NOT(ISNUMBER(D86))),"",D86-E86)</f>
        <v/>
      </c>
      <c r="L86" s="30">
        <f>IF(OR($A86="",NOT(ISNUMBER(D86))),"",D86-J86)</f>
        <v/>
      </c>
      <c r="M86" s="32">
        <f>IF(K86="","",IF(D86&gt;0,K86/D86,"－"))</f>
        <v/>
      </c>
      <c r="N86" s="55">
        <f>IF(L86="","",IF(D86&gt;0,L86/D86,"－"))</f>
        <v/>
      </c>
      <c r="O86" s="50">
        <f>IF(AND(ISNUMBER(M86),ISNUMBER(N86)),(N86-M86)*100,IF($A86="","","－"))</f>
        <v/>
      </c>
      <c r="P86" s="49">
        <f>IF($A86="","",T86-N('案件'!L79))</f>
        <v/>
      </c>
      <c r="Q86" s="49">
        <f>IF($A86="","",U86-N('案件'!M79))</f>
        <v/>
      </c>
      <c r="R86" s="49">
        <f>IF($A86="","",V86-N('案件'!N79))</f>
        <v/>
      </c>
      <c r="S86" s="49">
        <f>IF($A86="","",W86-N('案件'!O79))</f>
        <v/>
      </c>
      <c r="T86" s="94">
        <f>IF($A86="","",SUMIFS('原価明細'!$K$5:$K$1504,'原価明細'!$B$5:$B$1504,$A86,'原価明細'!$D$5:$D$1504,"材料費"))</f>
        <v/>
      </c>
      <c r="U86" s="94">
        <f>IF($A86="","",SUMIFS('原価明細'!$K$5:$K$1504,'原価明細'!$B$5:$B$1504,$A86,'原価明細'!$D$5:$D$1504,"労務費"))</f>
        <v/>
      </c>
      <c r="V86" s="94">
        <f>IF($A86="","",SUMIFS('原価明細'!$K$5:$K$1504,'原価明細'!$B$5:$B$1504,$A86,'原価明細'!$D$5:$D$1504,"外注費"))</f>
        <v/>
      </c>
      <c r="W86" s="94">
        <f>IF($A86="","",SUMIFS('原価明細'!$K$5:$K$1504,'原価明細'!$B$5:$B$1504,$A86,'原価明細'!$D$5:$D$1504,"経費"))</f>
        <v/>
      </c>
      <c r="X86" s="95">
        <f>IF($A86="","",IF(ISNUMBER('案件'!G79),'案件'!G79,""))</f>
        <v/>
      </c>
      <c r="Y86" s="91">
        <f>IF($A86="",0,1)</f>
        <v/>
      </c>
    </row>
    <row r="87" ht="17" customHeight="1">
      <c r="A87" s="53">
        <f>IF('案件'!A80="","",'案件'!A80)</f>
        <v/>
      </c>
      <c r="B87" s="37">
        <f>IF($A87="","",'案件'!B80&amp;"")</f>
        <v/>
      </c>
      <c r="C87" s="53">
        <f>IF($A87="","",'案件'!H80&amp;"")</f>
        <v/>
      </c>
      <c r="D87" s="31">
        <f>IF($A87="","",IF(ISNUMBER('案件'!K80),'案件'!K80,""))</f>
        <v/>
      </c>
      <c r="E87" s="31">
        <f>IF($A87="","",SUM('案件'!L80:O80))</f>
        <v/>
      </c>
      <c r="F87" s="30">
        <f>IF($A87="","",SUM(T87:W87))</f>
        <v/>
      </c>
      <c r="G87" s="49">
        <f>IF($A87="","",F87-E87)</f>
        <v/>
      </c>
      <c r="H87" s="32">
        <f>IF($A87="","",IF(E87&gt;0,F87/E87,"－"))</f>
        <v/>
      </c>
      <c r="I87" s="54">
        <f>IF($A87="","",IF(F87=0,"",IF(E87&lt;=0,"予定なし",IF(F87&gt;E87,"超過",IF(AND(C87&lt;&gt;"完了",C87&lt;&gt;"中止",ISNUMBER('設定'!$B$6),'設定'!$B$6&gt;0,F87/E87&gt;='設定'!$B$6),"注意","予定内")))))</f>
        <v/>
      </c>
      <c r="J87" s="31">
        <f>IF($A87="","",IF(OR(C87="完了",C87="中止"),F87,MAX(T87,N('案件'!L80))+MAX(U87,N('案件'!M80))+MAX(V87,N('案件'!N80))+MAX(W87,N('案件'!O80))))</f>
        <v/>
      </c>
      <c r="K87" s="31">
        <f>IF(OR($A87="",NOT(ISNUMBER(D87))),"",D87-E87)</f>
        <v/>
      </c>
      <c r="L87" s="30">
        <f>IF(OR($A87="",NOT(ISNUMBER(D87))),"",D87-J87)</f>
        <v/>
      </c>
      <c r="M87" s="32">
        <f>IF(K87="","",IF(D87&gt;0,K87/D87,"－"))</f>
        <v/>
      </c>
      <c r="N87" s="55">
        <f>IF(L87="","",IF(D87&gt;0,L87/D87,"－"))</f>
        <v/>
      </c>
      <c r="O87" s="50">
        <f>IF(AND(ISNUMBER(M87),ISNUMBER(N87)),(N87-M87)*100,IF($A87="","","－"))</f>
        <v/>
      </c>
      <c r="P87" s="49">
        <f>IF($A87="","",T87-N('案件'!L80))</f>
        <v/>
      </c>
      <c r="Q87" s="49">
        <f>IF($A87="","",U87-N('案件'!M80))</f>
        <v/>
      </c>
      <c r="R87" s="49">
        <f>IF($A87="","",V87-N('案件'!N80))</f>
        <v/>
      </c>
      <c r="S87" s="49">
        <f>IF($A87="","",W87-N('案件'!O80))</f>
        <v/>
      </c>
      <c r="T87" s="94">
        <f>IF($A87="","",SUMIFS('原価明細'!$K$5:$K$1504,'原価明細'!$B$5:$B$1504,$A87,'原価明細'!$D$5:$D$1504,"材料費"))</f>
        <v/>
      </c>
      <c r="U87" s="94">
        <f>IF($A87="","",SUMIFS('原価明細'!$K$5:$K$1504,'原価明細'!$B$5:$B$1504,$A87,'原価明細'!$D$5:$D$1504,"労務費"))</f>
        <v/>
      </c>
      <c r="V87" s="94">
        <f>IF($A87="","",SUMIFS('原価明細'!$K$5:$K$1504,'原価明細'!$B$5:$B$1504,$A87,'原価明細'!$D$5:$D$1504,"外注費"))</f>
        <v/>
      </c>
      <c r="W87" s="94">
        <f>IF($A87="","",SUMIFS('原価明細'!$K$5:$K$1504,'原価明細'!$B$5:$B$1504,$A87,'原価明細'!$D$5:$D$1504,"経費"))</f>
        <v/>
      </c>
      <c r="X87" s="95">
        <f>IF($A87="","",IF(ISNUMBER('案件'!G80),'案件'!G80,""))</f>
        <v/>
      </c>
      <c r="Y87" s="91">
        <f>IF($A87="",0,1)</f>
        <v/>
      </c>
    </row>
    <row r="88" ht="17" customHeight="1">
      <c r="A88" s="53">
        <f>IF('案件'!A81="","",'案件'!A81)</f>
        <v/>
      </c>
      <c r="B88" s="37">
        <f>IF($A88="","",'案件'!B81&amp;"")</f>
        <v/>
      </c>
      <c r="C88" s="53">
        <f>IF($A88="","",'案件'!H81&amp;"")</f>
        <v/>
      </c>
      <c r="D88" s="31">
        <f>IF($A88="","",IF(ISNUMBER('案件'!K81),'案件'!K81,""))</f>
        <v/>
      </c>
      <c r="E88" s="31">
        <f>IF($A88="","",SUM('案件'!L81:O81))</f>
        <v/>
      </c>
      <c r="F88" s="30">
        <f>IF($A88="","",SUM(T88:W88))</f>
        <v/>
      </c>
      <c r="G88" s="49">
        <f>IF($A88="","",F88-E88)</f>
        <v/>
      </c>
      <c r="H88" s="32">
        <f>IF($A88="","",IF(E88&gt;0,F88/E88,"－"))</f>
        <v/>
      </c>
      <c r="I88" s="54">
        <f>IF($A88="","",IF(F88=0,"",IF(E88&lt;=0,"予定なし",IF(F88&gt;E88,"超過",IF(AND(C88&lt;&gt;"完了",C88&lt;&gt;"中止",ISNUMBER('設定'!$B$6),'設定'!$B$6&gt;0,F88/E88&gt;='設定'!$B$6),"注意","予定内")))))</f>
        <v/>
      </c>
      <c r="J88" s="31">
        <f>IF($A88="","",IF(OR(C88="完了",C88="中止"),F88,MAX(T88,N('案件'!L81))+MAX(U88,N('案件'!M81))+MAX(V88,N('案件'!N81))+MAX(W88,N('案件'!O81))))</f>
        <v/>
      </c>
      <c r="K88" s="31">
        <f>IF(OR($A88="",NOT(ISNUMBER(D88))),"",D88-E88)</f>
        <v/>
      </c>
      <c r="L88" s="30">
        <f>IF(OR($A88="",NOT(ISNUMBER(D88))),"",D88-J88)</f>
        <v/>
      </c>
      <c r="M88" s="32">
        <f>IF(K88="","",IF(D88&gt;0,K88/D88,"－"))</f>
        <v/>
      </c>
      <c r="N88" s="55">
        <f>IF(L88="","",IF(D88&gt;0,L88/D88,"－"))</f>
        <v/>
      </c>
      <c r="O88" s="50">
        <f>IF(AND(ISNUMBER(M88),ISNUMBER(N88)),(N88-M88)*100,IF($A88="","","－"))</f>
        <v/>
      </c>
      <c r="P88" s="49">
        <f>IF($A88="","",T88-N('案件'!L81))</f>
        <v/>
      </c>
      <c r="Q88" s="49">
        <f>IF($A88="","",U88-N('案件'!M81))</f>
        <v/>
      </c>
      <c r="R88" s="49">
        <f>IF($A88="","",V88-N('案件'!N81))</f>
        <v/>
      </c>
      <c r="S88" s="49">
        <f>IF($A88="","",W88-N('案件'!O81))</f>
        <v/>
      </c>
      <c r="T88" s="94">
        <f>IF($A88="","",SUMIFS('原価明細'!$K$5:$K$1504,'原価明細'!$B$5:$B$1504,$A88,'原価明細'!$D$5:$D$1504,"材料費"))</f>
        <v/>
      </c>
      <c r="U88" s="94">
        <f>IF($A88="","",SUMIFS('原価明細'!$K$5:$K$1504,'原価明細'!$B$5:$B$1504,$A88,'原価明細'!$D$5:$D$1504,"労務費"))</f>
        <v/>
      </c>
      <c r="V88" s="94">
        <f>IF($A88="","",SUMIFS('原価明細'!$K$5:$K$1504,'原価明細'!$B$5:$B$1504,$A88,'原価明細'!$D$5:$D$1504,"外注費"))</f>
        <v/>
      </c>
      <c r="W88" s="94">
        <f>IF($A88="","",SUMIFS('原価明細'!$K$5:$K$1504,'原価明細'!$B$5:$B$1504,$A88,'原価明細'!$D$5:$D$1504,"経費"))</f>
        <v/>
      </c>
      <c r="X88" s="95">
        <f>IF($A88="","",IF(ISNUMBER('案件'!G81),'案件'!G81,""))</f>
        <v/>
      </c>
      <c r="Y88" s="91">
        <f>IF($A88="",0,1)</f>
        <v/>
      </c>
    </row>
    <row r="89" ht="17" customHeight="1">
      <c r="A89" s="53">
        <f>IF('案件'!A82="","",'案件'!A82)</f>
        <v/>
      </c>
      <c r="B89" s="37">
        <f>IF($A89="","",'案件'!B82&amp;"")</f>
        <v/>
      </c>
      <c r="C89" s="53">
        <f>IF($A89="","",'案件'!H82&amp;"")</f>
        <v/>
      </c>
      <c r="D89" s="31">
        <f>IF($A89="","",IF(ISNUMBER('案件'!K82),'案件'!K82,""))</f>
        <v/>
      </c>
      <c r="E89" s="31">
        <f>IF($A89="","",SUM('案件'!L82:O82))</f>
        <v/>
      </c>
      <c r="F89" s="30">
        <f>IF($A89="","",SUM(T89:W89))</f>
        <v/>
      </c>
      <c r="G89" s="49">
        <f>IF($A89="","",F89-E89)</f>
        <v/>
      </c>
      <c r="H89" s="32">
        <f>IF($A89="","",IF(E89&gt;0,F89/E89,"－"))</f>
        <v/>
      </c>
      <c r="I89" s="54">
        <f>IF($A89="","",IF(F89=0,"",IF(E89&lt;=0,"予定なし",IF(F89&gt;E89,"超過",IF(AND(C89&lt;&gt;"完了",C89&lt;&gt;"中止",ISNUMBER('設定'!$B$6),'設定'!$B$6&gt;0,F89/E89&gt;='設定'!$B$6),"注意","予定内")))))</f>
        <v/>
      </c>
      <c r="J89" s="31">
        <f>IF($A89="","",IF(OR(C89="完了",C89="中止"),F89,MAX(T89,N('案件'!L82))+MAX(U89,N('案件'!M82))+MAX(V89,N('案件'!N82))+MAX(W89,N('案件'!O82))))</f>
        <v/>
      </c>
      <c r="K89" s="31">
        <f>IF(OR($A89="",NOT(ISNUMBER(D89))),"",D89-E89)</f>
        <v/>
      </c>
      <c r="L89" s="30">
        <f>IF(OR($A89="",NOT(ISNUMBER(D89))),"",D89-J89)</f>
        <v/>
      </c>
      <c r="M89" s="32">
        <f>IF(K89="","",IF(D89&gt;0,K89/D89,"－"))</f>
        <v/>
      </c>
      <c r="N89" s="55">
        <f>IF(L89="","",IF(D89&gt;0,L89/D89,"－"))</f>
        <v/>
      </c>
      <c r="O89" s="50">
        <f>IF(AND(ISNUMBER(M89),ISNUMBER(N89)),(N89-M89)*100,IF($A89="","","－"))</f>
        <v/>
      </c>
      <c r="P89" s="49">
        <f>IF($A89="","",T89-N('案件'!L82))</f>
        <v/>
      </c>
      <c r="Q89" s="49">
        <f>IF($A89="","",U89-N('案件'!M82))</f>
        <v/>
      </c>
      <c r="R89" s="49">
        <f>IF($A89="","",V89-N('案件'!N82))</f>
        <v/>
      </c>
      <c r="S89" s="49">
        <f>IF($A89="","",W89-N('案件'!O82))</f>
        <v/>
      </c>
      <c r="T89" s="94">
        <f>IF($A89="","",SUMIFS('原価明細'!$K$5:$K$1504,'原価明細'!$B$5:$B$1504,$A89,'原価明細'!$D$5:$D$1504,"材料費"))</f>
        <v/>
      </c>
      <c r="U89" s="94">
        <f>IF($A89="","",SUMIFS('原価明細'!$K$5:$K$1504,'原価明細'!$B$5:$B$1504,$A89,'原価明細'!$D$5:$D$1504,"労務費"))</f>
        <v/>
      </c>
      <c r="V89" s="94">
        <f>IF($A89="","",SUMIFS('原価明細'!$K$5:$K$1504,'原価明細'!$B$5:$B$1504,$A89,'原価明細'!$D$5:$D$1504,"外注費"))</f>
        <v/>
      </c>
      <c r="W89" s="94">
        <f>IF($A89="","",SUMIFS('原価明細'!$K$5:$K$1504,'原価明細'!$B$5:$B$1504,$A89,'原価明細'!$D$5:$D$1504,"経費"))</f>
        <v/>
      </c>
      <c r="X89" s="95">
        <f>IF($A89="","",IF(ISNUMBER('案件'!G82),'案件'!G82,""))</f>
        <v/>
      </c>
      <c r="Y89" s="91">
        <f>IF($A89="",0,1)</f>
        <v/>
      </c>
    </row>
    <row r="90" ht="17" customHeight="1">
      <c r="A90" s="53">
        <f>IF('案件'!A83="","",'案件'!A83)</f>
        <v/>
      </c>
      <c r="B90" s="37">
        <f>IF($A90="","",'案件'!B83&amp;"")</f>
        <v/>
      </c>
      <c r="C90" s="53">
        <f>IF($A90="","",'案件'!H83&amp;"")</f>
        <v/>
      </c>
      <c r="D90" s="31">
        <f>IF($A90="","",IF(ISNUMBER('案件'!K83),'案件'!K83,""))</f>
        <v/>
      </c>
      <c r="E90" s="31">
        <f>IF($A90="","",SUM('案件'!L83:O83))</f>
        <v/>
      </c>
      <c r="F90" s="30">
        <f>IF($A90="","",SUM(T90:W90))</f>
        <v/>
      </c>
      <c r="G90" s="49">
        <f>IF($A90="","",F90-E90)</f>
        <v/>
      </c>
      <c r="H90" s="32">
        <f>IF($A90="","",IF(E90&gt;0,F90/E90,"－"))</f>
        <v/>
      </c>
      <c r="I90" s="54">
        <f>IF($A90="","",IF(F90=0,"",IF(E90&lt;=0,"予定なし",IF(F90&gt;E90,"超過",IF(AND(C90&lt;&gt;"完了",C90&lt;&gt;"中止",ISNUMBER('設定'!$B$6),'設定'!$B$6&gt;0,F90/E90&gt;='設定'!$B$6),"注意","予定内")))))</f>
        <v/>
      </c>
      <c r="J90" s="31">
        <f>IF($A90="","",IF(OR(C90="完了",C90="中止"),F90,MAX(T90,N('案件'!L83))+MAX(U90,N('案件'!M83))+MAX(V90,N('案件'!N83))+MAX(W90,N('案件'!O83))))</f>
        <v/>
      </c>
      <c r="K90" s="31">
        <f>IF(OR($A90="",NOT(ISNUMBER(D90))),"",D90-E90)</f>
        <v/>
      </c>
      <c r="L90" s="30">
        <f>IF(OR($A90="",NOT(ISNUMBER(D90))),"",D90-J90)</f>
        <v/>
      </c>
      <c r="M90" s="32">
        <f>IF(K90="","",IF(D90&gt;0,K90/D90,"－"))</f>
        <v/>
      </c>
      <c r="N90" s="55">
        <f>IF(L90="","",IF(D90&gt;0,L90/D90,"－"))</f>
        <v/>
      </c>
      <c r="O90" s="50">
        <f>IF(AND(ISNUMBER(M90),ISNUMBER(N90)),(N90-M90)*100,IF($A90="","","－"))</f>
        <v/>
      </c>
      <c r="P90" s="49">
        <f>IF($A90="","",T90-N('案件'!L83))</f>
        <v/>
      </c>
      <c r="Q90" s="49">
        <f>IF($A90="","",U90-N('案件'!M83))</f>
        <v/>
      </c>
      <c r="R90" s="49">
        <f>IF($A90="","",V90-N('案件'!N83))</f>
        <v/>
      </c>
      <c r="S90" s="49">
        <f>IF($A90="","",W90-N('案件'!O83))</f>
        <v/>
      </c>
      <c r="T90" s="94">
        <f>IF($A90="","",SUMIFS('原価明細'!$K$5:$K$1504,'原価明細'!$B$5:$B$1504,$A90,'原価明細'!$D$5:$D$1504,"材料費"))</f>
        <v/>
      </c>
      <c r="U90" s="94">
        <f>IF($A90="","",SUMIFS('原価明細'!$K$5:$K$1504,'原価明細'!$B$5:$B$1504,$A90,'原価明細'!$D$5:$D$1504,"労務費"))</f>
        <v/>
      </c>
      <c r="V90" s="94">
        <f>IF($A90="","",SUMIFS('原価明細'!$K$5:$K$1504,'原価明細'!$B$5:$B$1504,$A90,'原価明細'!$D$5:$D$1504,"外注費"))</f>
        <v/>
      </c>
      <c r="W90" s="94">
        <f>IF($A90="","",SUMIFS('原価明細'!$K$5:$K$1504,'原価明細'!$B$5:$B$1504,$A90,'原価明細'!$D$5:$D$1504,"経費"))</f>
        <v/>
      </c>
      <c r="X90" s="95">
        <f>IF($A90="","",IF(ISNUMBER('案件'!G83),'案件'!G83,""))</f>
        <v/>
      </c>
      <c r="Y90" s="91">
        <f>IF($A90="",0,1)</f>
        <v/>
      </c>
    </row>
    <row r="91" ht="17" customHeight="1">
      <c r="A91" s="53">
        <f>IF('案件'!A84="","",'案件'!A84)</f>
        <v/>
      </c>
      <c r="B91" s="37">
        <f>IF($A91="","",'案件'!B84&amp;"")</f>
        <v/>
      </c>
      <c r="C91" s="53">
        <f>IF($A91="","",'案件'!H84&amp;"")</f>
        <v/>
      </c>
      <c r="D91" s="31">
        <f>IF($A91="","",IF(ISNUMBER('案件'!K84),'案件'!K84,""))</f>
        <v/>
      </c>
      <c r="E91" s="31">
        <f>IF($A91="","",SUM('案件'!L84:O84))</f>
        <v/>
      </c>
      <c r="F91" s="30">
        <f>IF($A91="","",SUM(T91:W91))</f>
        <v/>
      </c>
      <c r="G91" s="49">
        <f>IF($A91="","",F91-E91)</f>
        <v/>
      </c>
      <c r="H91" s="32">
        <f>IF($A91="","",IF(E91&gt;0,F91/E91,"－"))</f>
        <v/>
      </c>
      <c r="I91" s="54">
        <f>IF($A91="","",IF(F91=0,"",IF(E91&lt;=0,"予定なし",IF(F91&gt;E91,"超過",IF(AND(C91&lt;&gt;"完了",C91&lt;&gt;"中止",ISNUMBER('設定'!$B$6),'設定'!$B$6&gt;0,F91/E91&gt;='設定'!$B$6),"注意","予定内")))))</f>
        <v/>
      </c>
      <c r="J91" s="31">
        <f>IF($A91="","",IF(OR(C91="完了",C91="中止"),F91,MAX(T91,N('案件'!L84))+MAX(U91,N('案件'!M84))+MAX(V91,N('案件'!N84))+MAX(W91,N('案件'!O84))))</f>
        <v/>
      </c>
      <c r="K91" s="31">
        <f>IF(OR($A91="",NOT(ISNUMBER(D91))),"",D91-E91)</f>
        <v/>
      </c>
      <c r="L91" s="30">
        <f>IF(OR($A91="",NOT(ISNUMBER(D91))),"",D91-J91)</f>
        <v/>
      </c>
      <c r="M91" s="32">
        <f>IF(K91="","",IF(D91&gt;0,K91/D91,"－"))</f>
        <v/>
      </c>
      <c r="N91" s="55">
        <f>IF(L91="","",IF(D91&gt;0,L91/D91,"－"))</f>
        <v/>
      </c>
      <c r="O91" s="50">
        <f>IF(AND(ISNUMBER(M91),ISNUMBER(N91)),(N91-M91)*100,IF($A91="","","－"))</f>
        <v/>
      </c>
      <c r="P91" s="49">
        <f>IF($A91="","",T91-N('案件'!L84))</f>
        <v/>
      </c>
      <c r="Q91" s="49">
        <f>IF($A91="","",U91-N('案件'!M84))</f>
        <v/>
      </c>
      <c r="R91" s="49">
        <f>IF($A91="","",V91-N('案件'!N84))</f>
        <v/>
      </c>
      <c r="S91" s="49">
        <f>IF($A91="","",W91-N('案件'!O84))</f>
        <v/>
      </c>
      <c r="T91" s="94">
        <f>IF($A91="","",SUMIFS('原価明細'!$K$5:$K$1504,'原価明細'!$B$5:$B$1504,$A91,'原価明細'!$D$5:$D$1504,"材料費"))</f>
        <v/>
      </c>
      <c r="U91" s="94">
        <f>IF($A91="","",SUMIFS('原価明細'!$K$5:$K$1504,'原価明細'!$B$5:$B$1504,$A91,'原価明細'!$D$5:$D$1504,"労務費"))</f>
        <v/>
      </c>
      <c r="V91" s="94">
        <f>IF($A91="","",SUMIFS('原価明細'!$K$5:$K$1504,'原価明細'!$B$5:$B$1504,$A91,'原価明細'!$D$5:$D$1504,"外注費"))</f>
        <v/>
      </c>
      <c r="W91" s="94">
        <f>IF($A91="","",SUMIFS('原価明細'!$K$5:$K$1504,'原価明細'!$B$5:$B$1504,$A91,'原価明細'!$D$5:$D$1504,"経費"))</f>
        <v/>
      </c>
      <c r="X91" s="95">
        <f>IF($A91="","",IF(ISNUMBER('案件'!G84),'案件'!G84,""))</f>
        <v/>
      </c>
      <c r="Y91" s="91">
        <f>IF($A91="",0,1)</f>
        <v/>
      </c>
    </row>
    <row r="92" ht="17" customHeight="1">
      <c r="A92" s="53">
        <f>IF('案件'!A85="","",'案件'!A85)</f>
        <v/>
      </c>
      <c r="B92" s="37">
        <f>IF($A92="","",'案件'!B85&amp;"")</f>
        <v/>
      </c>
      <c r="C92" s="53">
        <f>IF($A92="","",'案件'!H85&amp;"")</f>
        <v/>
      </c>
      <c r="D92" s="31">
        <f>IF($A92="","",IF(ISNUMBER('案件'!K85),'案件'!K85,""))</f>
        <v/>
      </c>
      <c r="E92" s="31">
        <f>IF($A92="","",SUM('案件'!L85:O85))</f>
        <v/>
      </c>
      <c r="F92" s="30">
        <f>IF($A92="","",SUM(T92:W92))</f>
        <v/>
      </c>
      <c r="G92" s="49">
        <f>IF($A92="","",F92-E92)</f>
        <v/>
      </c>
      <c r="H92" s="32">
        <f>IF($A92="","",IF(E92&gt;0,F92/E92,"－"))</f>
        <v/>
      </c>
      <c r="I92" s="54">
        <f>IF($A92="","",IF(F92=0,"",IF(E92&lt;=0,"予定なし",IF(F92&gt;E92,"超過",IF(AND(C92&lt;&gt;"完了",C92&lt;&gt;"中止",ISNUMBER('設定'!$B$6),'設定'!$B$6&gt;0,F92/E92&gt;='設定'!$B$6),"注意","予定内")))))</f>
        <v/>
      </c>
      <c r="J92" s="31">
        <f>IF($A92="","",IF(OR(C92="完了",C92="中止"),F92,MAX(T92,N('案件'!L85))+MAX(U92,N('案件'!M85))+MAX(V92,N('案件'!N85))+MAX(W92,N('案件'!O85))))</f>
        <v/>
      </c>
      <c r="K92" s="31">
        <f>IF(OR($A92="",NOT(ISNUMBER(D92))),"",D92-E92)</f>
        <v/>
      </c>
      <c r="L92" s="30">
        <f>IF(OR($A92="",NOT(ISNUMBER(D92))),"",D92-J92)</f>
        <v/>
      </c>
      <c r="M92" s="32">
        <f>IF(K92="","",IF(D92&gt;0,K92/D92,"－"))</f>
        <v/>
      </c>
      <c r="N92" s="55">
        <f>IF(L92="","",IF(D92&gt;0,L92/D92,"－"))</f>
        <v/>
      </c>
      <c r="O92" s="50">
        <f>IF(AND(ISNUMBER(M92),ISNUMBER(N92)),(N92-M92)*100,IF($A92="","","－"))</f>
        <v/>
      </c>
      <c r="P92" s="49">
        <f>IF($A92="","",T92-N('案件'!L85))</f>
        <v/>
      </c>
      <c r="Q92" s="49">
        <f>IF($A92="","",U92-N('案件'!M85))</f>
        <v/>
      </c>
      <c r="R92" s="49">
        <f>IF($A92="","",V92-N('案件'!N85))</f>
        <v/>
      </c>
      <c r="S92" s="49">
        <f>IF($A92="","",W92-N('案件'!O85))</f>
        <v/>
      </c>
      <c r="T92" s="94">
        <f>IF($A92="","",SUMIFS('原価明細'!$K$5:$K$1504,'原価明細'!$B$5:$B$1504,$A92,'原価明細'!$D$5:$D$1504,"材料費"))</f>
        <v/>
      </c>
      <c r="U92" s="94">
        <f>IF($A92="","",SUMIFS('原価明細'!$K$5:$K$1504,'原価明細'!$B$5:$B$1504,$A92,'原価明細'!$D$5:$D$1504,"労務費"))</f>
        <v/>
      </c>
      <c r="V92" s="94">
        <f>IF($A92="","",SUMIFS('原価明細'!$K$5:$K$1504,'原価明細'!$B$5:$B$1504,$A92,'原価明細'!$D$5:$D$1504,"外注費"))</f>
        <v/>
      </c>
      <c r="W92" s="94">
        <f>IF($A92="","",SUMIFS('原価明細'!$K$5:$K$1504,'原価明細'!$B$5:$B$1504,$A92,'原価明細'!$D$5:$D$1504,"経費"))</f>
        <v/>
      </c>
      <c r="X92" s="95">
        <f>IF($A92="","",IF(ISNUMBER('案件'!G85),'案件'!G85,""))</f>
        <v/>
      </c>
      <c r="Y92" s="91">
        <f>IF($A92="",0,1)</f>
        <v/>
      </c>
    </row>
    <row r="93" ht="17" customHeight="1">
      <c r="A93" s="53">
        <f>IF('案件'!A86="","",'案件'!A86)</f>
        <v/>
      </c>
      <c r="B93" s="37">
        <f>IF($A93="","",'案件'!B86&amp;"")</f>
        <v/>
      </c>
      <c r="C93" s="53">
        <f>IF($A93="","",'案件'!H86&amp;"")</f>
        <v/>
      </c>
      <c r="D93" s="31">
        <f>IF($A93="","",IF(ISNUMBER('案件'!K86),'案件'!K86,""))</f>
        <v/>
      </c>
      <c r="E93" s="31">
        <f>IF($A93="","",SUM('案件'!L86:O86))</f>
        <v/>
      </c>
      <c r="F93" s="30">
        <f>IF($A93="","",SUM(T93:W93))</f>
        <v/>
      </c>
      <c r="G93" s="49">
        <f>IF($A93="","",F93-E93)</f>
        <v/>
      </c>
      <c r="H93" s="32">
        <f>IF($A93="","",IF(E93&gt;0,F93/E93,"－"))</f>
        <v/>
      </c>
      <c r="I93" s="54">
        <f>IF($A93="","",IF(F93=0,"",IF(E93&lt;=0,"予定なし",IF(F93&gt;E93,"超過",IF(AND(C93&lt;&gt;"完了",C93&lt;&gt;"中止",ISNUMBER('設定'!$B$6),'設定'!$B$6&gt;0,F93/E93&gt;='設定'!$B$6),"注意","予定内")))))</f>
        <v/>
      </c>
      <c r="J93" s="31">
        <f>IF($A93="","",IF(OR(C93="完了",C93="中止"),F93,MAX(T93,N('案件'!L86))+MAX(U93,N('案件'!M86))+MAX(V93,N('案件'!N86))+MAX(W93,N('案件'!O86))))</f>
        <v/>
      </c>
      <c r="K93" s="31">
        <f>IF(OR($A93="",NOT(ISNUMBER(D93))),"",D93-E93)</f>
        <v/>
      </c>
      <c r="L93" s="30">
        <f>IF(OR($A93="",NOT(ISNUMBER(D93))),"",D93-J93)</f>
        <v/>
      </c>
      <c r="M93" s="32">
        <f>IF(K93="","",IF(D93&gt;0,K93/D93,"－"))</f>
        <v/>
      </c>
      <c r="N93" s="55">
        <f>IF(L93="","",IF(D93&gt;0,L93/D93,"－"))</f>
        <v/>
      </c>
      <c r="O93" s="50">
        <f>IF(AND(ISNUMBER(M93),ISNUMBER(N93)),(N93-M93)*100,IF($A93="","","－"))</f>
        <v/>
      </c>
      <c r="P93" s="49">
        <f>IF($A93="","",T93-N('案件'!L86))</f>
        <v/>
      </c>
      <c r="Q93" s="49">
        <f>IF($A93="","",U93-N('案件'!M86))</f>
        <v/>
      </c>
      <c r="R93" s="49">
        <f>IF($A93="","",V93-N('案件'!N86))</f>
        <v/>
      </c>
      <c r="S93" s="49">
        <f>IF($A93="","",W93-N('案件'!O86))</f>
        <v/>
      </c>
      <c r="T93" s="94">
        <f>IF($A93="","",SUMIFS('原価明細'!$K$5:$K$1504,'原価明細'!$B$5:$B$1504,$A93,'原価明細'!$D$5:$D$1504,"材料費"))</f>
        <v/>
      </c>
      <c r="U93" s="94">
        <f>IF($A93="","",SUMIFS('原価明細'!$K$5:$K$1504,'原価明細'!$B$5:$B$1504,$A93,'原価明細'!$D$5:$D$1504,"労務費"))</f>
        <v/>
      </c>
      <c r="V93" s="94">
        <f>IF($A93="","",SUMIFS('原価明細'!$K$5:$K$1504,'原価明細'!$B$5:$B$1504,$A93,'原価明細'!$D$5:$D$1504,"外注費"))</f>
        <v/>
      </c>
      <c r="W93" s="94">
        <f>IF($A93="","",SUMIFS('原価明細'!$K$5:$K$1504,'原価明細'!$B$5:$B$1504,$A93,'原価明細'!$D$5:$D$1504,"経費"))</f>
        <v/>
      </c>
      <c r="X93" s="95">
        <f>IF($A93="","",IF(ISNUMBER('案件'!G86),'案件'!G86,""))</f>
        <v/>
      </c>
      <c r="Y93" s="91">
        <f>IF($A93="",0,1)</f>
        <v/>
      </c>
    </row>
    <row r="94" ht="17" customHeight="1">
      <c r="A94" s="53">
        <f>IF('案件'!A87="","",'案件'!A87)</f>
        <v/>
      </c>
      <c r="B94" s="37">
        <f>IF($A94="","",'案件'!B87&amp;"")</f>
        <v/>
      </c>
      <c r="C94" s="53">
        <f>IF($A94="","",'案件'!H87&amp;"")</f>
        <v/>
      </c>
      <c r="D94" s="31">
        <f>IF($A94="","",IF(ISNUMBER('案件'!K87),'案件'!K87,""))</f>
        <v/>
      </c>
      <c r="E94" s="31">
        <f>IF($A94="","",SUM('案件'!L87:O87))</f>
        <v/>
      </c>
      <c r="F94" s="30">
        <f>IF($A94="","",SUM(T94:W94))</f>
        <v/>
      </c>
      <c r="G94" s="49">
        <f>IF($A94="","",F94-E94)</f>
        <v/>
      </c>
      <c r="H94" s="32">
        <f>IF($A94="","",IF(E94&gt;0,F94/E94,"－"))</f>
        <v/>
      </c>
      <c r="I94" s="54">
        <f>IF($A94="","",IF(F94=0,"",IF(E94&lt;=0,"予定なし",IF(F94&gt;E94,"超過",IF(AND(C94&lt;&gt;"完了",C94&lt;&gt;"中止",ISNUMBER('設定'!$B$6),'設定'!$B$6&gt;0,F94/E94&gt;='設定'!$B$6),"注意","予定内")))))</f>
        <v/>
      </c>
      <c r="J94" s="31">
        <f>IF($A94="","",IF(OR(C94="完了",C94="中止"),F94,MAX(T94,N('案件'!L87))+MAX(U94,N('案件'!M87))+MAX(V94,N('案件'!N87))+MAX(W94,N('案件'!O87))))</f>
        <v/>
      </c>
      <c r="K94" s="31">
        <f>IF(OR($A94="",NOT(ISNUMBER(D94))),"",D94-E94)</f>
        <v/>
      </c>
      <c r="L94" s="30">
        <f>IF(OR($A94="",NOT(ISNUMBER(D94))),"",D94-J94)</f>
        <v/>
      </c>
      <c r="M94" s="32">
        <f>IF(K94="","",IF(D94&gt;0,K94/D94,"－"))</f>
        <v/>
      </c>
      <c r="N94" s="55">
        <f>IF(L94="","",IF(D94&gt;0,L94/D94,"－"))</f>
        <v/>
      </c>
      <c r="O94" s="50">
        <f>IF(AND(ISNUMBER(M94),ISNUMBER(N94)),(N94-M94)*100,IF($A94="","","－"))</f>
        <v/>
      </c>
      <c r="P94" s="49">
        <f>IF($A94="","",T94-N('案件'!L87))</f>
        <v/>
      </c>
      <c r="Q94" s="49">
        <f>IF($A94="","",U94-N('案件'!M87))</f>
        <v/>
      </c>
      <c r="R94" s="49">
        <f>IF($A94="","",V94-N('案件'!N87))</f>
        <v/>
      </c>
      <c r="S94" s="49">
        <f>IF($A94="","",W94-N('案件'!O87))</f>
        <v/>
      </c>
      <c r="T94" s="94">
        <f>IF($A94="","",SUMIFS('原価明細'!$K$5:$K$1504,'原価明細'!$B$5:$B$1504,$A94,'原価明細'!$D$5:$D$1504,"材料費"))</f>
        <v/>
      </c>
      <c r="U94" s="94">
        <f>IF($A94="","",SUMIFS('原価明細'!$K$5:$K$1504,'原価明細'!$B$5:$B$1504,$A94,'原価明細'!$D$5:$D$1504,"労務費"))</f>
        <v/>
      </c>
      <c r="V94" s="94">
        <f>IF($A94="","",SUMIFS('原価明細'!$K$5:$K$1504,'原価明細'!$B$5:$B$1504,$A94,'原価明細'!$D$5:$D$1504,"外注費"))</f>
        <v/>
      </c>
      <c r="W94" s="94">
        <f>IF($A94="","",SUMIFS('原価明細'!$K$5:$K$1504,'原価明細'!$B$5:$B$1504,$A94,'原価明細'!$D$5:$D$1504,"経費"))</f>
        <v/>
      </c>
      <c r="X94" s="95">
        <f>IF($A94="","",IF(ISNUMBER('案件'!G87),'案件'!G87,""))</f>
        <v/>
      </c>
      <c r="Y94" s="91">
        <f>IF($A94="",0,1)</f>
        <v/>
      </c>
    </row>
    <row r="95" ht="17" customHeight="1">
      <c r="A95" s="53">
        <f>IF('案件'!A88="","",'案件'!A88)</f>
        <v/>
      </c>
      <c r="B95" s="37">
        <f>IF($A95="","",'案件'!B88&amp;"")</f>
        <v/>
      </c>
      <c r="C95" s="53">
        <f>IF($A95="","",'案件'!H88&amp;"")</f>
        <v/>
      </c>
      <c r="D95" s="31">
        <f>IF($A95="","",IF(ISNUMBER('案件'!K88),'案件'!K88,""))</f>
        <v/>
      </c>
      <c r="E95" s="31">
        <f>IF($A95="","",SUM('案件'!L88:O88))</f>
        <v/>
      </c>
      <c r="F95" s="30">
        <f>IF($A95="","",SUM(T95:W95))</f>
        <v/>
      </c>
      <c r="G95" s="49">
        <f>IF($A95="","",F95-E95)</f>
        <v/>
      </c>
      <c r="H95" s="32">
        <f>IF($A95="","",IF(E95&gt;0,F95/E95,"－"))</f>
        <v/>
      </c>
      <c r="I95" s="54">
        <f>IF($A95="","",IF(F95=0,"",IF(E95&lt;=0,"予定なし",IF(F95&gt;E95,"超過",IF(AND(C95&lt;&gt;"完了",C95&lt;&gt;"中止",ISNUMBER('設定'!$B$6),'設定'!$B$6&gt;0,F95/E95&gt;='設定'!$B$6),"注意","予定内")))))</f>
        <v/>
      </c>
      <c r="J95" s="31">
        <f>IF($A95="","",IF(OR(C95="完了",C95="中止"),F95,MAX(T95,N('案件'!L88))+MAX(U95,N('案件'!M88))+MAX(V95,N('案件'!N88))+MAX(W95,N('案件'!O88))))</f>
        <v/>
      </c>
      <c r="K95" s="31">
        <f>IF(OR($A95="",NOT(ISNUMBER(D95))),"",D95-E95)</f>
        <v/>
      </c>
      <c r="L95" s="30">
        <f>IF(OR($A95="",NOT(ISNUMBER(D95))),"",D95-J95)</f>
        <v/>
      </c>
      <c r="M95" s="32">
        <f>IF(K95="","",IF(D95&gt;0,K95/D95,"－"))</f>
        <v/>
      </c>
      <c r="N95" s="55">
        <f>IF(L95="","",IF(D95&gt;0,L95/D95,"－"))</f>
        <v/>
      </c>
      <c r="O95" s="50">
        <f>IF(AND(ISNUMBER(M95),ISNUMBER(N95)),(N95-M95)*100,IF($A95="","","－"))</f>
        <v/>
      </c>
      <c r="P95" s="49">
        <f>IF($A95="","",T95-N('案件'!L88))</f>
        <v/>
      </c>
      <c r="Q95" s="49">
        <f>IF($A95="","",U95-N('案件'!M88))</f>
        <v/>
      </c>
      <c r="R95" s="49">
        <f>IF($A95="","",V95-N('案件'!N88))</f>
        <v/>
      </c>
      <c r="S95" s="49">
        <f>IF($A95="","",W95-N('案件'!O88))</f>
        <v/>
      </c>
      <c r="T95" s="94">
        <f>IF($A95="","",SUMIFS('原価明細'!$K$5:$K$1504,'原価明細'!$B$5:$B$1504,$A95,'原価明細'!$D$5:$D$1504,"材料費"))</f>
        <v/>
      </c>
      <c r="U95" s="94">
        <f>IF($A95="","",SUMIFS('原価明細'!$K$5:$K$1504,'原価明細'!$B$5:$B$1504,$A95,'原価明細'!$D$5:$D$1504,"労務費"))</f>
        <v/>
      </c>
      <c r="V95" s="94">
        <f>IF($A95="","",SUMIFS('原価明細'!$K$5:$K$1504,'原価明細'!$B$5:$B$1504,$A95,'原価明細'!$D$5:$D$1504,"外注費"))</f>
        <v/>
      </c>
      <c r="W95" s="94">
        <f>IF($A95="","",SUMIFS('原価明細'!$K$5:$K$1504,'原価明細'!$B$5:$B$1504,$A95,'原価明細'!$D$5:$D$1504,"経費"))</f>
        <v/>
      </c>
      <c r="X95" s="95">
        <f>IF($A95="","",IF(ISNUMBER('案件'!G88),'案件'!G88,""))</f>
        <v/>
      </c>
      <c r="Y95" s="91">
        <f>IF($A95="",0,1)</f>
        <v/>
      </c>
    </row>
    <row r="96" ht="17" customHeight="1">
      <c r="A96" s="53">
        <f>IF('案件'!A89="","",'案件'!A89)</f>
        <v/>
      </c>
      <c r="B96" s="37">
        <f>IF($A96="","",'案件'!B89&amp;"")</f>
        <v/>
      </c>
      <c r="C96" s="53">
        <f>IF($A96="","",'案件'!H89&amp;"")</f>
        <v/>
      </c>
      <c r="D96" s="31">
        <f>IF($A96="","",IF(ISNUMBER('案件'!K89),'案件'!K89,""))</f>
        <v/>
      </c>
      <c r="E96" s="31">
        <f>IF($A96="","",SUM('案件'!L89:O89))</f>
        <v/>
      </c>
      <c r="F96" s="30">
        <f>IF($A96="","",SUM(T96:W96))</f>
        <v/>
      </c>
      <c r="G96" s="49">
        <f>IF($A96="","",F96-E96)</f>
        <v/>
      </c>
      <c r="H96" s="32">
        <f>IF($A96="","",IF(E96&gt;0,F96/E96,"－"))</f>
        <v/>
      </c>
      <c r="I96" s="54">
        <f>IF($A96="","",IF(F96=0,"",IF(E96&lt;=0,"予定なし",IF(F96&gt;E96,"超過",IF(AND(C96&lt;&gt;"完了",C96&lt;&gt;"中止",ISNUMBER('設定'!$B$6),'設定'!$B$6&gt;0,F96/E96&gt;='設定'!$B$6),"注意","予定内")))))</f>
        <v/>
      </c>
      <c r="J96" s="31">
        <f>IF($A96="","",IF(OR(C96="完了",C96="中止"),F96,MAX(T96,N('案件'!L89))+MAX(U96,N('案件'!M89))+MAX(V96,N('案件'!N89))+MAX(W96,N('案件'!O89))))</f>
        <v/>
      </c>
      <c r="K96" s="31">
        <f>IF(OR($A96="",NOT(ISNUMBER(D96))),"",D96-E96)</f>
        <v/>
      </c>
      <c r="L96" s="30">
        <f>IF(OR($A96="",NOT(ISNUMBER(D96))),"",D96-J96)</f>
        <v/>
      </c>
      <c r="M96" s="32">
        <f>IF(K96="","",IF(D96&gt;0,K96/D96,"－"))</f>
        <v/>
      </c>
      <c r="N96" s="55">
        <f>IF(L96="","",IF(D96&gt;0,L96/D96,"－"))</f>
        <v/>
      </c>
      <c r="O96" s="50">
        <f>IF(AND(ISNUMBER(M96),ISNUMBER(N96)),(N96-M96)*100,IF($A96="","","－"))</f>
        <v/>
      </c>
      <c r="P96" s="49">
        <f>IF($A96="","",T96-N('案件'!L89))</f>
        <v/>
      </c>
      <c r="Q96" s="49">
        <f>IF($A96="","",U96-N('案件'!M89))</f>
        <v/>
      </c>
      <c r="R96" s="49">
        <f>IF($A96="","",V96-N('案件'!N89))</f>
        <v/>
      </c>
      <c r="S96" s="49">
        <f>IF($A96="","",W96-N('案件'!O89))</f>
        <v/>
      </c>
      <c r="T96" s="94">
        <f>IF($A96="","",SUMIFS('原価明細'!$K$5:$K$1504,'原価明細'!$B$5:$B$1504,$A96,'原価明細'!$D$5:$D$1504,"材料費"))</f>
        <v/>
      </c>
      <c r="U96" s="94">
        <f>IF($A96="","",SUMIFS('原価明細'!$K$5:$K$1504,'原価明細'!$B$5:$B$1504,$A96,'原価明細'!$D$5:$D$1504,"労務費"))</f>
        <v/>
      </c>
      <c r="V96" s="94">
        <f>IF($A96="","",SUMIFS('原価明細'!$K$5:$K$1504,'原価明細'!$B$5:$B$1504,$A96,'原価明細'!$D$5:$D$1504,"外注費"))</f>
        <v/>
      </c>
      <c r="W96" s="94">
        <f>IF($A96="","",SUMIFS('原価明細'!$K$5:$K$1504,'原価明細'!$B$5:$B$1504,$A96,'原価明細'!$D$5:$D$1504,"経費"))</f>
        <v/>
      </c>
      <c r="X96" s="95">
        <f>IF($A96="","",IF(ISNUMBER('案件'!G89),'案件'!G89,""))</f>
        <v/>
      </c>
      <c r="Y96" s="91">
        <f>IF($A96="",0,1)</f>
        <v/>
      </c>
    </row>
    <row r="97" ht="17" customHeight="1">
      <c r="A97" s="53">
        <f>IF('案件'!A90="","",'案件'!A90)</f>
        <v/>
      </c>
      <c r="B97" s="37">
        <f>IF($A97="","",'案件'!B90&amp;"")</f>
        <v/>
      </c>
      <c r="C97" s="53">
        <f>IF($A97="","",'案件'!H90&amp;"")</f>
        <v/>
      </c>
      <c r="D97" s="31">
        <f>IF($A97="","",IF(ISNUMBER('案件'!K90),'案件'!K90,""))</f>
        <v/>
      </c>
      <c r="E97" s="31">
        <f>IF($A97="","",SUM('案件'!L90:O90))</f>
        <v/>
      </c>
      <c r="F97" s="30">
        <f>IF($A97="","",SUM(T97:W97))</f>
        <v/>
      </c>
      <c r="G97" s="49">
        <f>IF($A97="","",F97-E97)</f>
        <v/>
      </c>
      <c r="H97" s="32">
        <f>IF($A97="","",IF(E97&gt;0,F97/E97,"－"))</f>
        <v/>
      </c>
      <c r="I97" s="54">
        <f>IF($A97="","",IF(F97=0,"",IF(E97&lt;=0,"予定なし",IF(F97&gt;E97,"超過",IF(AND(C97&lt;&gt;"完了",C97&lt;&gt;"中止",ISNUMBER('設定'!$B$6),'設定'!$B$6&gt;0,F97/E97&gt;='設定'!$B$6),"注意","予定内")))))</f>
        <v/>
      </c>
      <c r="J97" s="31">
        <f>IF($A97="","",IF(OR(C97="完了",C97="中止"),F97,MAX(T97,N('案件'!L90))+MAX(U97,N('案件'!M90))+MAX(V97,N('案件'!N90))+MAX(W97,N('案件'!O90))))</f>
        <v/>
      </c>
      <c r="K97" s="31">
        <f>IF(OR($A97="",NOT(ISNUMBER(D97))),"",D97-E97)</f>
        <v/>
      </c>
      <c r="L97" s="30">
        <f>IF(OR($A97="",NOT(ISNUMBER(D97))),"",D97-J97)</f>
        <v/>
      </c>
      <c r="M97" s="32">
        <f>IF(K97="","",IF(D97&gt;0,K97/D97,"－"))</f>
        <v/>
      </c>
      <c r="N97" s="55">
        <f>IF(L97="","",IF(D97&gt;0,L97/D97,"－"))</f>
        <v/>
      </c>
      <c r="O97" s="50">
        <f>IF(AND(ISNUMBER(M97),ISNUMBER(N97)),(N97-M97)*100,IF($A97="","","－"))</f>
        <v/>
      </c>
      <c r="P97" s="49">
        <f>IF($A97="","",T97-N('案件'!L90))</f>
        <v/>
      </c>
      <c r="Q97" s="49">
        <f>IF($A97="","",U97-N('案件'!M90))</f>
        <v/>
      </c>
      <c r="R97" s="49">
        <f>IF($A97="","",V97-N('案件'!N90))</f>
        <v/>
      </c>
      <c r="S97" s="49">
        <f>IF($A97="","",W97-N('案件'!O90))</f>
        <v/>
      </c>
      <c r="T97" s="94">
        <f>IF($A97="","",SUMIFS('原価明細'!$K$5:$K$1504,'原価明細'!$B$5:$B$1504,$A97,'原価明細'!$D$5:$D$1504,"材料費"))</f>
        <v/>
      </c>
      <c r="U97" s="94">
        <f>IF($A97="","",SUMIFS('原価明細'!$K$5:$K$1504,'原価明細'!$B$5:$B$1504,$A97,'原価明細'!$D$5:$D$1504,"労務費"))</f>
        <v/>
      </c>
      <c r="V97" s="94">
        <f>IF($A97="","",SUMIFS('原価明細'!$K$5:$K$1504,'原価明細'!$B$5:$B$1504,$A97,'原価明細'!$D$5:$D$1504,"外注費"))</f>
        <v/>
      </c>
      <c r="W97" s="94">
        <f>IF($A97="","",SUMIFS('原価明細'!$K$5:$K$1504,'原価明細'!$B$5:$B$1504,$A97,'原価明細'!$D$5:$D$1504,"経費"))</f>
        <v/>
      </c>
      <c r="X97" s="95">
        <f>IF($A97="","",IF(ISNUMBER('案件'!G90),'案件'!G90,""))</f>
        <v/>
      </c>
      <c r="Y97" s="91">
        <f>IF($A97="",0,1)</f>
        <v/>
      </c>
    </row>
    <row r="98" ht="17" customHeight="1">
      <c r="A98" s="53">
        <f>IF('案件'!A91="","",'案件'!A91)</f>
        <v/>
      </c>
      <c r="B98" s="37">
        <f>IF($A98="","",'案件'!B91&amp;"")</f>
        <v/>
      </c>
      <c r="C98" s="53">
        <f>IF($A98="","",'案件'!H91&amp;"")</f>
        <v/>
      </c>
      <c r="D98" s="31">
        <f>IF($A98="","",IF(ISNUMBER('案件'!K91),'案件'!K91,""))</f>
        <v/>
      </c>
      <c r="E98" s="31">
        <f>IF($A98="","",SUM('案件'!L91:O91))</f>
        <v/>
      </c>
      <c r="F98" s="30">
        <f>IF($A98="","",SUM(T98:W98))</f>
        <v/>
      </c>
      <c r="G98" s="49">
        <f>IF($A98="","",F98-E98)</f>
        <v/>
      </c>
      <c r="H98" s="32">
        <f>IF($A98="","",IF(E98&gt;0,F98/E98,"－"))</f>
        <v/>
      </c>
      <c r="I98" s="54">
        <f>IF($A98="","",IF(F98=0,"",IF(E98&lt;=0,"予定なし",IF(F98&gt;E98,"超過",IF(AND(C98&lt;&gt;"完了",C98&lt;&gt;"中止",ISNUMBER('設定'!$B$6),'設定'!$B$6&gt;0,F98/E98&gt;='設定'!$B$6),"注意","予定内")))))</f>
        <v/>
      </c>
      <c r="J98" s="31">
        <f>IF($A98="","",IF(OR(C98="完了",C98="中止"),F98,MAX(T98,N('案件'!L91))+MAX(U98,N('案件'!M91))+MAX(V98,N('案件'!N91))+MAX(W98,N('案件'!O91))))</f>
        <v/>
      </c>
      <c r="K98" s="31">
        <f>IF(OR($A98="",NOT(ISNUMBER(D98))),"",D98-E98)</f>
        <v/>
      </c>
      <c r="L98" s="30">
        <f>IF(OR($A98="",NOT(ISNUMBER(D98))),"",D98-J98)</f>
        <v/>
      </c>
      <c r="M98" s="32">
        <f>IF(K98="","",IF(D98&gt;0,K98/D98,"－"))</f>
        <v/>
      </c>
      <c r="N98" s="55">
        <f>IF(L98="","",IF(D98&gt;0,L98/D98,"－"))</f>
        <v/>
      </c>
      <c r="O98" s="50">
        <f>IF(AND(ISNUMBER(M98),ISNUMBER(N98)),(N98-M98)*100,IF($A98="","","－"))</f>
        <v/>
      </c>
      <c r="P98" s="49">
        <f>IF($A98="","",T98-N('案件'!L91))</f>
        <v/>
      </c>
      <c r="Q98" s="49">
        <f>IF($A98="","",U98-N('案件'!M91))</f>
        <v/>
      </c>
      <c r="R98" s="49">
        <f>IF($A98="","",V98-N('案件'!N91))</f>
        <v/>
      </c>
      <c r="S98" s="49">
        <f>IF($A98="","",W98-N('案件'!O91))</f>
        <v/>
      </c>
      <c r="T98" s="94">
        <f>IF($A98="","",SUMIFS('原価明細'!$K$5:$K$1504,'原価明細'!$B$5:$B$1504,$A98,'原価明細'!$D$5:$D$1504,"材料費"))</f>
        <v/>
      </c>
      <c r="U98" s="94">
        <f>IF($A98="","",SUMIFS('原価明細'!$K$5:$K$1504,'原価明細'!$B$5:$B$1504,$A98,'原価明細'!$D$5:$D$1504,"労務費"))</f>
        <v/>
      </c>
      <c r="V98" s="94">
        <f>IF($A98="","",SUMIFS('原価明細'!$K$5:$K$1504,'原価明細'!$B$5:$B$1504,$A98,'原価明細'!$D$5:$D$1504,"外注費"))</f>
        <v/>
      </c>
      <c r="W98" s="94">
        <f>IF($A98="","",SUMIFS('原価明細'!$K$5:$K$1504,'原価明細'!$B$5:$B$1504,$A98,'原価明細'!$D$5:$D$1504,"経費"))</f>
        <v/>
      </c>
      <c r="X98" s="95">
        <f>IF($A98="","",IF(ISNUMBER('案件'!G91),'案件'!G91,""))</f>
        <v/>
      </c>
      <c r="Y98" s="91">
        <f>IF($A98="",0,1)</f>
        <v/>
      </c>
    </row>
    <row r="99" ht="17" customHeight="1">
      <c r="A99" s="53">
        <f>IF('案件'!A92="","",'案件'!A92)</f>
        <v/>
      </c>
      <c r="B99" s="37">
        <f>IF($A99="","",'案件'!B92&amp;"")</f>
        <v/>
      </c>
      <c r="C99" s="53">
        <f>IF($A99="","",'案件'!H92&amp;"")</f>
        <v/>
      </c>
      <c r="D99" s="31">
        <f>IF($A99="","",IF(ISNUMBER('案件'!K92),'案件'!K92,""))</f>
        <v/>
      </c>
      <c r="E99" s="31">
        <f>IF($A99="","",SUM('案件'!L92:O92))</f>
        <v/>
      </c>
      <c r="F99" s="30">
        <f>IF($A99="","",SUM(T99:W99))</f>
        <v/>
      </c>
      <c r="G99" s="49">
        <f>IF($A99="","",F99-E99)</f>
        <v/>
      </c>
      <c r="H99" s="32">
        <f>IF($A99="","",IF(E99&gt;0,F99/E99,"－"))</f>
        <v/>
      </c>
      <c r="I99" s="54">
        <f>IF($A99="","",IF(F99=0,"",IF(E99&lt;=0,"予定なし",IF(F99&gt;E99,"超過",IF(AND(C99&lt;&gt;"完了",C99&lt;&gt;"中止",ISNUMBER('設定'!$B$6),'設定'!$B$6&gt;0,F99/E99&gt;='設定'!$B$6),"注意","予定内")))))</f>
        <v/>
      </c>
      <c r="J99" s="31">
        <f>IF($A99="","",IF(OR(C99="完了",C99="中止"),F99,MAX(T99,N('案件'!L92))+MAX(U99,N('案件'!M92))+MAX(V99,N('案件'!N92))+MAX(W99,N('案件'!O92))))</f>
        <v/>
      </c>
      <c r="K99" s="31">
        <f>IF(OR($A99="",NOT(ISNUMBER(D99))),"",D99-E99)</f>
        <v/>
      </c>
      <c r="L99" s="30">
        <f>IF(OR($A99="",NOT(ISNUMBER(D99))),"",D99-J99)</f>
        <v/>
      </c>
      <c r="M99" s="32">
        <f>IF(K99="","",IF(D99&gt;0,K99/D99,"－"))</f>
        <v/>
      </c>
      <c r="N99" s="55">
        <f>IF(L99="","",IF(D99&gt;0,L99/D99,"－"))</f>
        <v/>
      </c>
      <c r="O99" s="50">
        <f>IF(AND(ISNUMBER(M99),ISNUMBER(N99)),(N99-M99)*100,IF($A99="","","－"))</f>
        <v/>
      </c>
      <c r="P99" s="49">
        <f>IF($A99="","",T99-N('案件'!L92))</f>
        <v/>
      </c>
      <c r="Q99" s="49">
        <f>IF($A99="","",U99-N('案件'!M92))</f>
        <v/>
      </c>
      <c r="R99" s="49">
        <f>IF($A99="","",V99-N('案件'!N92))</f>
        <v/>
      </c>
      <c r="S99" s="49">
        <f>IF($A99="","",W99-N('案件'!O92))</f>
        <v/>
      </c>
      <c r="T99" s="94">
        <f>IF($A99="","",SUMIFS('原価明細'!$K$5:$K$1504,'原価明細'!$B$5:$B$1504,$A99,'原価明細'!$D$5:$D$1504,"材料費"))</f>
        <v/>
      </c>
      <c r="U99" s="94">
        <f>IF($A99="","",SUMIFS('原価明細'!$K$5:$K$1504,'原価明細'!$B$5:$B$1504,$A99,'原価明細'!$D$5:$D$1504,"労務費"))</f>
        <v/>
      </c>
      <c r="V99" s="94">
        <f>IF($A99="","",SUMIFS('原価明細'!$K$5:$K$1504,'原価明細'!$B$5:$B$1504,$A99,'原価明細'!$D$5:$D$1504,"外注費"))</f>
        <v/>
      </c>
      <c r="W99" s="94">
        <f>IF($A99="","",SUMIFS('原価明細'!$K$5:$K$1504,'原価明細'!$B$5:$B$1504,$A99,'原価明細'!$D$5:$D$1504,"経費"))</f>
        <v/>
      </c>
      <c r="X99" s="95">
        <f>IF($A99="","",IF(ISNUMBER('案件'!G92),'案件'!G92,""))</f>
        <v/>
      </c>
      <c r="Y99" s="91">
        <f>IF($A99="",0,1)</f>
        <v/>
      </c>
    </row>
    <row r="100" ht="17" customHeight="1">
      <c r="A100" s="53">
        <f>IF('案件'!A93="","",'案件'!A93)</f>
        <v/>
      </c>
      <c r="B100" s="37">
        <f>IF($A100="","",'案件'!B93&amp;"")</f>
        <v/>
      </c>
      <c r="C100" s="53">
        <f>IF($A100="","",'案件'!H93&amp;"")</f>
        <v/>
      </c>
      <c r="D100" s="31">
        <f>IF($A100="","",IF(ISNUMBER('案件'!K93),'案件'!K93,""))</f>
        <v/>
      </c>
      <c r="E100" s="31">
        <f>IF($A100="","",SUM('案件'!L93:O93))</f>
        <v/>
      </c>
      <c r="F100" s="30">
        <f>IF($A100="","",SUM(T100:W100))</f>
        <v/>
      </c>
      <c r="G100" s="49">
        <f>IF($A100="","",F100-E100)</f>
        <v/>
      </c>
      <c r="H100" s="32">
        <f>IF($A100="","",IF(E100&gt;0,F100/E100,"－"))</f>
        <v/>
      </c>
      <c r="I100" s="54">
        <f>IF($A100="","",IF(F100=0,"",IF(E100&lt;=0,"予定なし",IF(F100&gt;E100,"超過",IF(AND(C100&lt;&gt;"完了",C100&lt;&gt;"中止",ISNUMBER('設定'!$B$6),'設定'!$B$6&gt;0,F100/E100&gt;='設定'!$B$6),"注意","予定内")))))</f>
        <v/>
      </c>
      <c r="J100" s="31">
        <f>IF($A100="","",IF(OR(C100="完了",C100="中止"),F100,MAX(T100,N('案件'!L93))+MAX(U100,N('案件'!M93))+MAX(V100,N('案件'!N93))+MAX(W100,N('案件'!O93))))</f>
        <v/>
      </c>
      <c r="K100" s="31">
        <f>IF(OR($A100="",NOT(ISNUMBER(D100))),"",D100-E100)</f>
        <v/>
      </c>
      <c r="L100" s="30">
        <f>IF(OR($A100="",NOT(ISNUMBER(D100))),"",D100-J100)</f>
        <v/>
      </c>
      <c r="M100" s="32">
        <f>IF(K100="","",IF(D100&gt;0,K100/D100,"－"))</f>
        <v/>
      </c>
      <c r="N100" s="55">
        <f>IF(L100="","",IF(D100&gt;0,L100/D100,"－"))</f>
        <v/>
      </c>
      <c r="O100" s="50">
        <f>IF(AND(ISNUMBER(M100),ISNUMBER(N100)),(N100-M100)*100,IF($A100="","","－"))</f>
        <v/>
      </c>
      <c r="P100" s="49">
        <f>IF($A100="","",T100-N('案件'!L93))</f>
        <v/>
      </c>
      <c r="Q100" s="49">
        <f>IF($A100="","",U100-N('案件'!M93))</f>
        <v/>
      </c>
      <c r="R100" s="49">
        <f>IF($A100="","",V100-N('案件'!N93))</f>
        <v/>
      </c>
      <c r="S100" s="49">
        <f>IF($A100="","",W100-N('案件'!O93))</f>
        <v/>
      </c>
      <c r="T100" s="94">
        <f>IF($A100="","",SUMIFS('原価明細'!$K$5:$K$1504,'原価明細'!$B$5:$B$1504,$A100,'原価明細'!$D$5:$D$1504,"材料費"))</f>
        <v/>
      </c>
      <c r="U100" s="94">
        <f>IF($A100="","",SUMIFS('原価明細'!$K$5:$K$1504,'原価明細'!$B$5:$B$1504,$A100,'原価明細'!$D$5:$D$1504,"労務費"))</f>
        <v/>
      </c>
      <c r="V100" s="94">
        <f>IF($A100="","",SUMIFS('原価明細'!$K$5:$K$1504,'原価明細'!$B$5:$B$1504,$A100,'原価明細'!$D$5:$D$1504,"外注費"))</f>
        <v/>
      </c>
      <c r="W100" s="94">
        <f>IF($A100="","",SUMIFS('原価明細'!$K$5:$K$1504,'原価明細'!$B$5:$B$1504,$A100,'原価明細'!$D$5:$D$1504,"経費"))</f>
        <v/>
      </c>
      <c r="X100" s="95">
        <f>IF($A100="","",IF(ISNUMBER('案件'!G93),'案件'!G93,""))</f>
        <v/>
      </c>
      <c r="Y100" s="91">
        <f>IF($A100="",0,1)</f>
        <v/>
      </c>
    </row>
    <row r="101" ht="17" customHeight="1">
      <c r="A101" s="53">
        <f>IF('案件'!A94="","",'案件'!A94)</f>
        <v/>
      </c>
      <c r="B101" s="37">
        <f>IF($A101="","",'案件'!B94&amp;"")</f>
        <v/>
      </c>
      <c r="C101" s="53">
        <f>IF($A101="","",'案件'!H94&amp;"")</f>
        <v/>
      </c>
      <c r="D101" s="31">
        <f>IF($A101="","",IF(ISNUMBER('案件'!K94),'案件'!K94,""))</f>
        <v/>
      </c>
      <c r="E101" s="31">
        <f>IF($A101="","",SUM('案件'!L94:O94))</f>
        <v/>
      </c>
      <c r="F101" s="30">
        <f>IF($A101="","",SUM(T101:W101))</f>
        <v/>
      </c>
      <c r="G101" s="49">
        <f>IF($A101="","",F101-E101)</f>
        <v/>
      </c>
      <c r="H101" s="32">
        <f>IF($A101="","",IF(E101&gt;0,F101/E101,"－"))</f>
        <v/>
      </c>
      <c r="I101" s="54">
        <f>IF($A101="","",IF(F101=0,"",IF(E101&lt;=0,"予定なし",IF(F101&gt;E101,"超過",IF(AND(C101&lt;&gt;"完了",C101&lt;&gt;"中止",ISNUMBER('設定'!$B$6),'設定'!$B$6&gt;0,F101/E101&gt;='設定'!$B$6),"注意","予定内")))))</f>
        <v/>
      </c>
      <c r="J101" s="31">
        <f>IF($A101="","",IF(OR(C101="完了",C101="中止"),F101,MAX(T101,N('案件'!L94))+MAX(U101,N('案件'!M94))+MAX(V101,N('案件'!N94))+MAX(W101,N('案件'!O94))))</f>
        <v/>
      </c>
      <c r="K101" s="31">
        <f>IF(OR($A101="",NOT(ISNUMBER(D101))),"",D101-E101)</f>
        <v/>
      </c>
      <c r="L101" s="30">
        <f>IF(OR($A101="",NOT(ISNUMBER(D101))),"",D101-J101)</f>
        <v/>
      </c>
      <c r="M101" s="32">
        <f>IF(K101="","",IF(D101&gt;0,K101/D101,"－"))</f>
        <v/>
      </c>
      <c r="N101" s="55">
        <f>IF(L101="","",IF(D101&gt;0,L101/D101,"－"))</f>
        <v/>
      </c>
      <c r="O101" s="50">
        <f>IF(AND(ISNUMBER(M101),ISNUMBER(N101)),(N101-M101)*100,IF($A101="","","－"))</f>
        <v/>
      </c>
      <c r="P101" s="49">
        <f>IF($A101="","",T101-N('案件'!L94))</f>
        <v/>
      </c>
      <c r="Q101" s="49">
        <f>IF($A101="","",U101-N('案件'!M94))</f>
        <v/>
      </c>
      <c r="R101" s="49">
        <f>IF($A101="","",V101-N('案件'!N94))</f>
        <v/>
      </c>
      <c r="S101" s="49">
        <f>IF($A101="","",W101-N('案件'!O94))</f>
        <v/>
      </c>
      <c r="T101" s="94">
        <f>IF($A101="","",SUMIFS('原価明細'!$K$5:$K$1504,'原価明細'!$B$5:$B$1504,$A101,'原価明細'!$D$5:$D$1504,"材料費"))</f>
        <v/>
      </c>
      <c r="U101" s="94">
        <f>IF($A101="","",SUMIFS('原価明細'!$K$5:$K$1504,'原価明細'!$B$5:$B$1504,$A101,'原価明細'!$D$5:$D$1504,"労務費"))</f>
        <v/>
      </c>
      <c r="V101" s="94">
        <f>IF($A101="","",SUMIFS('原価明細'!$K$5:$K$1504,'原価明細'!$B$5:$B$1504,$A101,'原価明細'!$D$5:$D$1504,"外注費"))</f>
        <v/>
      </c>
      <c r="W101" s="94">
        <f>IF($A101="","",SUMIFS('原価明細'!$K$5:$K$1504,'原価明細'!$B$5:$B$1504,$A101,'原価明細'!$D$5:$D$1504,"経費"))</f>
        <v/>
      </c>
      <c r="X101" s="95">
        <f>IF($A101="","",IF(ISNUMBER('案件'!G94),'案件'!G94,""))</f>
        <v/>
      </c>
      <c r="Y101" s="91">
        <f>IF($A101="",0,1)</f>
        <v/>
      </c>
    </row>
    <row r="102" ht="17" customHeight="1">
      <c r="A102" s="53">
        <f>IF('案件'!A95="","",'案件'!A95)</f>
        <v/>
      </c>
      <c r="B102" s="37">
        <f>IF($A102="","",'案件'!B95&amp;"")</f>
        <v/>
      </c>
      <c r="C102" s="53">
        <f>IF($A102="","",'案件'!H95&amp;"")</f>
        <v/>
      </c>
      <c r="D102" s="31">
        <f>IF($A102="","",IF(ISNUMBER('案件'!K95),'案件'!K95,""))</f>
        <v/>
      </c>
      <c r="E102" s="31">
        <f>IF($A102="","",SUM('案件'!L95:O95))</f>
        <v/>
      </c>
      <c r="F102" s="30">
        <f>IF($A102="","",SUM(T102:W102))</f>
        <v/>
      </c>
      <c r="G102" s="49">
        <f>IF($A102="","",F102-E102)</f>
        <v/>
      </c>
      <c r="H102" s="32">
        <f>IF($A102="","",IF(E102&gt;0,F102/E102,"－"))</f>
        <v/>
      </c>
      <c r="I102" s="54">
        <f>IF($A102="","",IF(F102=0,"",IF(E102&lt;=0,"予定なし",IF(F102&gt;E102,"超過",IF(AND(C102&lt;&gt;"完了",C102&lt;&gt;"中止",ISNUMBER('設定'!$B$6),'設定'!$B$6&gt;0,F102/E102&gt;='設定'!$B$6),"注意","予定内")))))</f>
        <v/>
      </c>
      <c r="J102" s="31">
        <f>IF($A102="","",IF(OR(C102="完了",C102="中止"),F102,MAX(T102,N('案件'!L95))+MAX(U102,N('案件'!M95))+MAX(V102,N('案件'!N95))+MAX(W102,N('案件'!O95))))</f>
        <v/>
      </c>
      <c r="K102" s="31">
        <f>IF(OR($A102="",NOT(ISNUMBER(D102))),"",D102-E102)</f>
        <v/>
      </c>
      <c r="L102" s="30">
        <f>IF(OR($A102="",NOT(ISNUMBER(D102))),"",D102-J102)</f>
        <v/>
      </c>
      <c r="M102" s="32">
        <f>IF(K102="","",IF(D102&gt;0,K102/D102,"－"))</f>
        <v/>
      </c>
      <c r="N102" s="55">
        <f>IF(L102="","",IF(D102&gt;0,L102/D102,"－"))</f>
        <v/>
      </c>
      <c r="O102" s="50">
        <f>IF(AND(ISNUMBER(M102),ISNUMBER(N102)),(N102-M102)*100,IF($A102="","","－"))</f>
        <v/>
      </c>
      <c r="P102" s="49">
        <f>IF($A102="","",T102-N('案件'!L95))</f>
        <v/>
      </c>
      <c r="Q102" s="49">
        <f>IF($A102="","",U102-N('案件'!M95))</f>
        <v/>
      </c>
      <c r="R102" s="49">
        <f>IF($A102="","",V102-N('案件'!N95))</f>
        <v/>
      </c>
      <c r="S102" s="49">
        <f>IF($A102="","",W102-N('案件'!O95))</f>
        <v/>
      </c>
      <c r="T102" s="94">
        <f>IF($A102="","",SUMIFS('原価明細'!$K$5:$K$1504,'原価明細'!$B$5:$B$1504,$A102,'原価明細'!$D$5:$D$1504,"材料費"))</f>
        <v/>
      </c>
      <c r="U102" s="94">
        <f>IF($A102="","",SUMIFS('原価明細'!$K$5:$K$1504,'原価明細'!$B$5:$B$1504,$A102,'原価明細'!$D$5:$D$1504,"労務費"))</f>
        <v/>
      </c>
      <c r="V102" s="94">
        <f>IF($A102="","",SUMIFS('原価明細'!$K$5:$K$1504,'原価明細'!$B$5:$B$1504,$A102,'原価明細'!$D$5:$D$1504,"外注費"))</f>
        <v/>
      </c>
      <c r="W102" s="94">
        <f>IF($A102="","",SUMIFS('原価明細'!$K$5:$K$1504,'原価明細'!$B$5:$B$1504,$A102,'原価明細'!$D$5:$D$1504,"経費"))</f>
        <v/>
      </c>
      <c r="X102" s="95">
        <f>IF($A102="","",IF(ISNUMBER('案件'!G95),'案件'!G95,""))</f>
        <v/>
      </c>
      <c r="Y102" s="91">
        <f>IF($A102="",0,1)</f>
        <v/>
      </c>
    </row>
    <row r="103" ht="17" customHeight="1">
      <c r="A103" s="53">
        <f>IF('案件'!A96="","",'案件'!A96)</f>
        <v/>
      </c>
      <c r="B103" s="37">
        <f>IF($A103="","",'案件'!B96&amp;"")</f>
        <v/>
      </c>
      <c r="C103" s="53">
        <f>IF($A103="","",'案件'!H96&amp;"")</f>
        <v/>
      </c>
      <c r="D103" s="31">
        <f>IF($A103="","",IF(ISNUMBER('案件'!K96),'案件'!K96,""))</f>
        <v/>
      </c>
      <c r="E103" s="31">
        <f>IF($A103="","",SUM('案件'!L96:O96))</f>
        <v/>
      </c>
      <c r="F103" s="30">
        <f>IF($A103="","",SUM(T103:W103))</f>
        <v/>
      </c>
      <c r="G103" s="49">
        <f>IF($A103="","",F103-E103)</f>
        <v/>
      </c>
      <c r="H103" s="32">
        <f>IF($A103="","",IF(E103&gt;0,F103/E103,"－"))</f>
        <v/>
      </c>
      <c r="I103" s="54">
        <f>IF($A103="","",IF(F103=0,"",IF(E103&lt;=0,"予定なし",IF(F103&gt;E103,"超過",IF(AND(C103&lt;&gt;"完了",C103&lt;&gt;"中止",ISNUMBER('設定'!$B$6),'設定'!$B$6&gt;0,F103/E103&gt;='設定'!$B$6),"注意","予定内")))))</f>
        <v/>
      </c>
      <c r="J103" s="31">
        <f>IF($A103="","",IF(OR(C103="完了",C103="中止"),F103,MAX(T103,N('案件'!L96))+MAX(U103,N('案件'!M96))+MAX(V103,N('案件'!N96))+MAX(W103,N('案件'!O96))))</f>
        <v/>
      </c>
      <c r="K103" s="31">
        <f>IF(OR($A103="",NOT(ISNUMBER(D103))),"",D103-E103)</f>
        <v/>
      </c>
      <c r="L103" s="30">
        <f>IF(OR($A103="",NOT(ISNUMBER(D103))),"",D103-J103)</f>
        <v/>
      </c>
      <c r="M103" s="32">
        <f>IF(K103="","",IF(D103&gt;0,K103/D103,"－"))</f>
        <v/>
      </c>
      <c r="N103" s="55">
        <f>IF(L103="","",IF(D103&gt;0,L103/D103,"－"))</f>
        <v/>
      </c>
      <c r="O103" s="50">
        <f>IF(AND(ISNUMBER(M103),ISNUMBER(N103)),(N103-M103)*100,IF($A103="","","－"))</f>
        <v/>
      </c>
      <c r="P103" s="49">
        <f>IF($A103="","",T103-N('案件'!L96))</f>
        <v/>
      </c>
      <c r="Q103" s="49">
        <f>IF($A103="","",U103-N('案件'!M96))</f>
        <v/>
      </c>
      <c r="R103" s="49">
        <f>IF($A103="","",V103-N('案件'!N96))</f>
        <v/>
      </c>
      <c r="S103" s="49">
        <f>IF($A103="","",W103-N('案件'!O96))</f>
        <v/>
      </c>
      <c r="T103" s="94">
        <f>IF($A103="","",SUMIFS('原価明細'!$K$5:$K$1504,'原価明細'!$B$5:$B$1504,$A103,'原価明細'!$D$5:$D$1504,"材料費"))</f>
        <v/>
      </c>
      <c r="U103" s="94">
        <f>IF($A103="","",SUMIFS('原価明細'!$K$5:$K$1504,'原価明細'!$B$5:$B$1504,$A103,'原価明細'!$D$5:$D$1504,"労務費"))</f>
        <v/>
      </c>
      <c r="V103" s="94">
        <f>IF($A103="","",SUMIFS('原価明細'!$K$5:$K$1504,'原価明細'!$B$5:$B$1504,$A103,'原価明細'!$D$5:$D$1504,"外注費"))</f>
        <v/>
      </c>
      <c r="W103" s="94">
        <f>IF($A103="","",SUMIFS('原価明細'!$K$5:$K$1504,'原価明細'!$B$5:$B$1504,$A103,'原価明細'!$D$5:$D$1504,"経費"))</f>
        <v/>
      </c>
      <c r="X103" s="95">
        <f>IF($A103="","",IF(ISNUMBER('案件'!G96),'案件'!G96,""))</f>
        <v/>
      </c>
      <c r="Y103" s="91">
        <f>IF($A103="",0,1)</f>
        <v/>
      </c>
    </row>
    <row r="104" ht="17" customHeight="1">
      <c r="A104" s="53">
        <f>IF('案件'!A97="","",'案件'!A97)</f>
        <v/>
      </c>
      <c r="B104" s="37">
        <f>IF($A104="","",'案件'!B97&amp;"")</f>
        <v/>
      </c>
      <c r="C104" s="53">
        <f>IF($A104="","",'案件'!H97&amp;"")</f>
        <v/>
      </c>
      <c r="D104" s="31">
        <f>IF($A104="","",IF(ISNUMBER('案件'!K97),'案件'!K97,""))</f>
        <v/>
      </c>
      <c r="E104" s="31">
        <f>IF($A104="","",SUM('案件'!L97:O97))</f>
        <v/>
      </c>
      <c r="F104" s="30">
        <f>IF($A104="","",SUM(T104:W104))</f>
        <v/>
      </c>
      <c r="G104" s="49">
        <f>IF($A104="","",F104-E104)</f>
        <v/>
      </c>
      <c r="H104" s="32">
        <f>IF($A104="","",IF(E104&gt;0,F104/E104,"－"))</f>
        <v/>
      </c>
      <c r="I104" s="54">
        <f>IF($A104="","",IF(F104=0,"",IF(E104&lt;=0,"予定なし",IF(F104&gt;E104,"超過",IF(AND(C104&lt;&gt;"完了",C104&lt;&gt;"中止",ISNUMBER('設定'!$B$6),'設定'!$B$6&gt;0,F104/E104&gt;='設定'!$B$6),"注意","予定内")))))</f>
        <v/>
      </c>
      <c r="J104" s="31">
        <f>IF($A104="","",IF(OR(C104="完了",C104="中止"),F104,MAX(T104,N('案件'!L97))+MAX(U104,N('案件'!M97))+MAX(V104,N('案件'!N97))+MAX(W104,N('案件'!O97))))</f>
        <v/>
      </c>
      <c r="K104" s="31">
        <f>IF(OR($A104="",NOT(ISNUMBER(D104))),"",D104-E104)</f>
        <v/>
      </c>
      <c r="L104" s="30">
        <f>IF(OR($A104="",NOT(ISNUMBER(D104))),"",D104-J104)</f>
        <v/>
      </c>
      <c r="M104" s="32">
        <f>IF(K104="","",IF(D104&gt;0,K104/D104,"－"))</f>
        <v/>
      </c>
      <c r="N104" s="55">
        <f>IF(L104="","",IF(D104&gt;0,L104/D104,"－"))</f>
        <v/>
      </c>
      <c r="O104" s="50">
        <f>IF(AND(ISNUMBER(M104),ISNUMBER(N104)),(N104-M104)*100,IF($A104="","","－"))</f>
        <v/>
      </c>
      <c r="P104" s="49">
        <f>IF($A104="","",T104-N('案件'!L97))</f>
        <v/>
      </c>
      <c r="Q104" s="49">
        <f>IF($A104="","",U104-N('案件'!M97))</f>
        <v/>
      </c>
      <c r="R104" s="49">
        <f>IF($A104="","",V104-N('案件'!N97))</f>
        <v/>
      </c>
      <c r="S104" s="49">
        <f>IF($A104="","",W104-N('案件'!O97))</f>
        <v/>
      </c>
      <c r="T104" s="94">
        <f>IF($A104="","",SUMIFS('原価明細'!$K$5:$K$1504,'原価明細'!$B$5:$B$1504,$A104,'原価明細'!$D$5:$D$1504,"材料費"))</f>
        <v/>
      </c>
      <c r="U104" s="94">
        <f>IF($A104="","",SUMIFS('原価明細'!$K$5:$K$1504,'原価明細'!$B$5:$B$1504,$A104,'原価明細'!$D$5:$D$1504,"労務費"))</f>
        <v/>
      </c>
      <c r="V104" s="94">
        <f>IF($A104="","",SUMIFS('原価明細'!$K$5:$K$1504,'原価明細'!$B$5:$B$1504,$A104,'原価明細'!$D$5:$D$1504,"外注費"))</f>
        <v/>
      </c>
      <c r="W104" s="94">
        <f>IF($A104="","",SUMIFS('原価明細'!$K$5:$K$1504,'原価明細'!$B$5:$B$1504,$A104,'原価明細'!$D$5:$D$1504,"経費"))</f>
        <v/>
      </c>
      <c r="X104" s="95">
        <f>IF($A104="","",IF(ISNUMBER('案件'!G97),'案件'!G97,""))</f>
        <v/>
      </c>
      <c r="Y104" s="91">
        <f>IF($A104="",0,1)</f>
        <v/>
      </c>
    </row>
    <row r="105" ht="17" customHeight="1">
      <c r="A105" s="53">
        <f>IF('案件'!A98="","",'案件'!A98)</f>
        <v/>
      </c>
      <c r="B105" s="37">
        <f>IF($A105="","",'案件'!B98&amp;"")</f>
        <v/>
      </c>
      <c r="C105" s="53">
        <f>IF($A105="","",'案件'!H98&amp;"")</f>
        <v/>
      </c>
      <c r="D105" s="31">
        <f>IF($A105="","",IF(ISNUMBER('案件'!K98),'案件'!K98,""))</f>
        <v/>
      </c>
      <c r="E105" s="31">
        <f>IF($A105="","",SUM('案件'!L98:O98))</f>
        <v/>
      </c>
      <c r="F105" s="30">
        <f>IF($A105="","",SUM(T105:W105))</f>
        <v/>
      </c>
      <c r="G105" s="49">
        <f>IF($A105="","",F105-E105)</f>
        <v/>
      </c>
      <c r="H105" s="32">
        <f>IF($A105="","",IF(E105&gt;0,F105/E105,"－"))</f>
        <v/>
      </c>
      <c r="I105" s="54">
        <f>IF($A105="","",IF(F105=0,"",IF(E105&lt;=0,"予定なし",IF(F105&gt;E105,"超過",IF(AND(C105&lt;&gt;"完了",C105&lt;&gt;"中止",ISNUMBER('設定'!$B$6),'設定'!$B$6&gt;0,F105/E105&gt;='設定'!$B$6),"注意","予定内")))))</f>
        <v/>
      </c>
      <c r="J105" s="31">
        <f>IF($A105="","",IF(OR(C105="完了",C105="中止"),F105,MAX(T105,N('案件'!L98))+MAX(U105,N('案件'!M98))+MAX(V105,N('案件'!N98))+MAX(W105,N('案件'!O98))))</f>
        <v/>
      </c>
      <c r="K105" s="31">
        <f>IF(OR($A105="",NOT(ISNUMBER(D105))),"",D105-E105)</f>
        <v/>
      </c>
      <c r="L105" s="30">
        <f>IF(OR($A105="",NOT(ISNUMBER(D105))),"",D105-J105)</f>
        <v/>
      </c>
      <c r="M105" s="32">
        <f>IF(K105="","",IF(D105&gt;0,K105/D105,"－"))</f>
        <v/>
      </c>
      <c r="N105" s="55">
        <f>IF(L105="","",IF(D105&gt;0,L105/D105,"－"))</f>
        <v/>
      </c>
      <c r="O105" s="50">
        <f>IF(AND(ISNUMBER(M105),ISNUMBER(N105)),(N105-M105)*100,IF($A105="","","－"))</f>
        <v/>
      </c>
      <c r="P105" s="49">
        <f>IF($A105="","",T105-N('案件'!L98))</f>
        <v/>
      </c>
      <c r="Q105" s="49">
        <f>IF($A105="","",U105-N('案件'!M98))</f>
        <v/>
      </c>
      <c r="R105" s="49">
        <f>IF($A105="","",V105-N('案件'!N98))</f>
        <v/>
      </c>
      <c r="S105" s="49">
        <f>IF($A105="","",W105-N('案件'!O98))</f>
        <v/>
      </c>
      <c r="T105" s="94">
        <f>IF($A105="","",SUMIFS('原価明細'!$K$5:$K$1504,'原価明細'!$B$5:$B$1504,$A105,'原価明細'!$D$5:$D$1504,"材料費"))</f>
        <v/>
      </c>
      <c r="U105" s="94">
        <f>IF($A105="","",SUMIFS('原価明細'!$K$5:$K$1504,'原価明細'!$B$5:$B$1504,$A105,'原価明細'!$D$5:$D$1504,"労務費"))</f>
        <v/>
      </c>
      <c r="V105" s="94">
        <f>IF($A105="","",SUMIFS('原価明細'!$K$5:$K$1504,'原価明細'!$B$5:$B$1504,$A105,'原価明細'!$D$5:$D$1504,"外注費"))</f>
        <v/>
      </c>
      <c r="W105" s="94">
        <f>IF($A105="","",SUMIFS('原価明細'!$K$5:$K$1504,'原価明細'!$B$5:$B$1504,$A105,'原価明細'!$D$5:$D$1504,"経費"))</f>
        <v/>
      </c>
      <c r="X105" s="95">
        <f>IF($A105="","",IF(ISNUMBER('案件'!G98),'案件'!G98,""))</f>
        <v/>
      </c>
      <c r="Y105" s="91">
        <f>IF($A105="",0,1)</f>
        <v/>
      </c>
    </row>
    <row r="106" ht="17" customHeight="1">
      <c r="A106" s="53">
        <f>IF('案件'!A99="","",'案件'!A99)</f>
        <v/>
      </c>
      <c r="B106" s="37">
        <f>IF($A106="","",'案件'!B99&amp;"")</f>
        <v/>
      </c>
      <c r="C106" s="53">
        <f>IF($A106="","",'案件'!H99&amp;"")</f>
        <v/>
      </c>
      <c r="D106" s="31">
        <f>IF($A106="","",IF(ISNUMBER('案件'!K99),'案件'!K99,""))</f>
        <v/>
      </c>
      <c r="E106" s="31">
        <f>IF($A106="","",SUM('案件'!L99:O99))</f>
        <v/>
      </c>
      <c r="F106" s="30">
        <f>IF($A106="","",SUM(T106:W106))</f>
        <v/>
      </c>
      <c r="G106" s="49">
        <f>IF($A106="","",F106-E106)</f>
        <v/>
      </c>
      <c r="H106" s="32">
        <f>IF($A106="","",IF(E106&gt;0,F106/E106,"－"))</f>
        <v/>
      </c>
      <c r="I106" s="54">
        <f>IF($A106="","",IF(F106=0,"",IF(E106&lt;=0,"予定なし",IF(F106&gt;E106,"超過",IF(AND(C106&lt;&gt;"完了",C106&lt;&gt;"中止",ISNUMBER('設定'!$B$6),'設定'!$B$6&gt;0,F106/E106&gt;='設定'!$B$6),"注意","予定内")))))</f>
        <v/>
      </c>
      <c r="J106" s="31">
        <f>IF($A106="","",IF(OR(C106="完了",C106="中止"),F106,MAX(T106,N('案件'!L99))+MAX(U106,N('案件'!M99))+MAX(V106,N('案件'!N99))+MAX(W106,N('案件'!O99))))</f>
        <v/>
      </c>
      <c r="K106" s="31">
        <f>IF(OR($A106="",NOT(ISNUMBER(D106))),"",D106-E106)</f>
        <v/>
      </c>
      <c r="L106" s="30">
        <f>IF(OR($A106="",NOT(ISNUMBER(D106))),"",D106-J106)</f>
        <v/>
      </c>
      <c r="M106" s="32">
        <f>IF(K106="","",IF(D106&gt;0,K106/D106,"－"))</f>
        <v/>
      </c>
      <c r="N106" s="55">
        <f>IF(L106="","",IF(D106&gt;0,L106/D106,"－"))</f>
        <v/>
      </c>
      <c r="O106" s="50">
        <f>IF(AND(ISNUMBER(M106),ISNUMBER(N106)),(N106-M106)*100,IF($A106="","","－"))</f>
        <v/>
      </c>
      <c r="P106" s="49">
        <f>IF($A106="","",T106-N('案件'!L99))</f>
        <v/>
      </c>
      <c r="Q106" s="49">
        <f>IF($A106="","",U106-N('案件'!M99))</f>
        <v/>
      </c>
      <c r="R106" s="49">
        <f>IF($A106="","",V106-N('案件'!N99))</f>
        <v/>
      </c>
      <c r="S106" s="49">
        <f>IF($A106="","",W106-N('案件'!O99))</f>
        <v/>
      </c>
      <c r="T106" s="94">
        <f>IF($A106="","",SUMIFS('原価明細'!$K$5:$K$1504,'原価明細'!$B$5:$B$1504,$A106,'原価明細'!$D$5:$D$1504,"材料費"))</f>
        <v/>
      </c>
      <c r="U106" s="94">
        <f>IF($A106="","",SUMIFS('原価明細'!$K$5:$K$1504,'原価明細'!$B$5:$B$1504,$A106,'原価明細'!$D$5:$D$1504,"労務費"))</f>
        <v/>
      </c>
      <c r="V106" s="94">
        <f>IF($A106="","",SUMIFS('原価明細'!$K$5:$K$1504,'原価明細'!$B$5:$B$1504,$A106,'原価明細'!$D$5:$D$1504,"外注費"))</f>
        <v/>
      </c>
      <c r="W106" s="94">
        <f>IF($A106="","",SUMIFS('原価明細'!$K$5:$K$1504,'原価明細'!$B$5:$B$1504,$A106,'原価明細'!$D$5:$D$1504,"経費"))</f>
        <v/>
      </c>
      <c r="X106" s="95">
        <f>IF($A106="","",IF(ISNUMBER('案件'!G99),'案件'!G99,""))</f>
        <v/>
      </c>
      <c r="Y106" s="91">
        <f>IF($A106="",0,1)</f>
        <v/>
      </c>
    </row>
    <row r="107" ht="17" customHeight="1">
      <c r="A107" s="53">
        <f>IF('案件'!A100="","",'案件'!A100)</f>
        <v/>
      </c>
      <c r="B107" s="37">
        <f>IF($A107="","",'案件'!B100&amp;"")</f>
        <v/>
      </c>
      <c r="C107" s="53">
        <f>IF($A107="","",'案件'!H100&amp;"")</f>
        <v/>
      </c>
      <c r="D107" s="31">
        <f>IF($A107="","",IF(ISNUMBER('案件'!K100),'案件'!K100,""))</f>
        <v/>
      </c>
      <c r="E107" s="31">
        <f>IF($A107="","",SUM('案件'!L100:O100))</f>
        <v/>
      </c>
      <c r="F107" s="30">
        <f>IF($A107="","",SUM(T107:W107))</f>
        <v/>
      </c>
      <c r="G107" s="49">
        <f>IF($A107="","",F107-E107)</f>
        <v/>
      </c>
      <c r="H107" s="32">
        <f>IF($A107="","",IF(E107&gt;0,F107/E107,"－"))</f>
        <v/>
      </c>
      <c r="I107" s="54">
        <f>IF($A107="","",IF(F107=0,"",IF(E107&lt;=0,"予定なし",IF(F107&gt;E107,"超過",IF(AND(C107&lt;&gt;"完了",C107&lt;&gt;"中止",ISNUMBER('設定'!$B$6),'設定'!$B$6&gt;0,F107/E107&gt;='設定'!$B$6),"注意","予定内")))))</f>
        <v/>
      </c>
      <c r="J107" s="31">
        <f>IF($A107="","",IF(OR(C107="完了",C107="中止"),F107,MAX(T107,N('案件'!L100))+MAX(U107,N('案件'!M100))+MAX(V107,N('案件'!N100))+MAX(W107,N('案件'!O100))))</f>
        <v/>
      </c>
      <c r="K107" s="31">
        <f>IF(OR($A107="",NOT(ISNUMBER(D107))),"",D107-E107)</f>
        <v/>
      </c>
      <c r="L107" s="30">
        <f>IF(OR($A107="",NOT(ISNUMBER(D107))),"",D107-J107)</f>
        <v/>
      </c>
      <c r="M107" s="32">
        <f>IF(K107="","",IF(D107&gt;0,K107/D107,"－"))</f>
        <v/>
      </c>
      <c r="N107" s="55">
        <f>IF(L107="","",IF(D107&gt;0,L107/D107,"－"))</f>
        <v/>
      </c>
      <c r="O107" s="50">
        <f>IF(AND(ISNUMBER(M107),ISNUMBER(N107)),(N107-M107)*100,IF($A107="","","－"))</f>
        <v/>
      </c>
      <c r="P107" s="49">
        <f>IF($A107="","",T107-N('案件'!L100))</f>
        <v/>
      </c>
      <c r="Q107" s="49">
        <f>IF($A107="","",U107-N('案件'!M100))</f>
        <v/>
      </c>
      <c r="R107" s="49">
        <f>IF($A107="","",V107-N('案件'!N100))</f>
        <v/>
      </c>
      <c r="S107" s="49">
        <f>IF($A107="","",W107-N('案件'!O100))</f>
        <v/>
      </c>
      <c r="T107" s="94">
        <f>IF($A107="","",SUMIFS('原価明細'!$K$5:$K$1504,'原価明細'!$B$5:$B$1504,$A107,'原価明細'!$D$5:$D$1504,"材料費"))</f>
        <v/>
      </c>
      <c r="U107" s="94">
        <f>IF($A107="","",SUMIFS('原価明細'!$K$5:$K$1504,'原価明細'!$B$5:$B$1504,$A107,'原価明細'!$D$5:$D$1504,"労務費"))</f>
        <v/>
      </c>
      <c r="V107" s="94">
        <f>IF($A107="","",SUMIFS('原価明細'!$K$5:$K$1504,'原価明細'!$B$5:$B$1504,$A107,'原価明細'!$D$5:$D$1504,"外注費"))</f>
        <v/>
      </c>
      <c r="W107" s="94">
        <f>IF($A107="","",SUMIFS('原価明細'!$K$5:$K$1504,'原価明細'!$B$5:$B$1504,$A107,'原価明細'!$D$5:$D$1504,"経費"))</f>
        <v/>
      </c>
      <c r="X107" s="95">
        <f>IF($A107="","",IF(ISNUMBER('案件'!G100),'案件'!G100,""))</f>
        <v/>
      </c>
      <c r="Y107" s="91">
        <f>IF($A107="",0,1)</f>
        <v/>
      </c>
    </row>
    <row r="108" ht="17" customHeight="1">
      <c r="A108" s="53">
        <f>IF('案件'!A101="","",'案件'!A101)</f>
        <v/>
      </c>
      <c r="B108" s="37">
        <f>IF($A108="","",'案件'!B101&amp;"")</f>
        <v/>
      </c>
      <c r="C108" s="53">
        <f>IF($A108="","",'案件'!H101&amp;"")</f>
        <v/>
      </c>
      <c r="D108" s="31">
        <f>IF($A108="","",IF(ISNUMBER('案件'!K101),'案件'!K101,""))</f>
        <v/>
      </c>
      <c r="E108" s="31">
        <f>IF($A108="","",SUM('案件'!L101:O101))</f>
        <v/>
      </c>
      <c r="F108" s="30">
        <f>IF($A108="","",SUM(T108:W108))</f>
        <v/>
      </c>
      <c r="G108" s="49">
        <f>IF($A108="","",F108-E108)</f>
        <v/>
      </c>
      <c r="H108" s="32">
        <f>IF($A108="","",IF(E108&gt;0,F108/E108,"－"))</f>
        <v/>
      </c>
      <c r="I108" s="54">
        <f>IF($A108="","",IF(F108=0,"",IF(E108&lt;=0,"予定なし",IF(F108&gt;E108,"超過",IF(AND(C108&lt;&gt;"完了",C108&lt;&gt;"中止",ISNUMBER('設定'!$B$6),'設定'!$B$6&gt;0,F108/E108&gt;='設定'!$B$6),"注意","予定内")))))</f>
        <v/>
      </c>
      <c r="J108" s="31">
        <f>IF($A108="","",IF(OR(C108="完了",C108="中止"),F108,MAX(T108,N('案件'!L101))+MAX(U108,N('案件'!M101))+MAX(V108,N('案件'!N101))+MAX(W108,N('案件'!O101))))</f>
        <v/>
      </c>
      <c r="K108" s="31">
        <f>IF(OR($A108="",NOT(ISNUMBER(D108))),"",D108-E108)</f>
        <v/>
      </c>
      <c r="L108" s="30">
        <f>IF(OR($A108="",NOT(ISNUMBER(D108))),"",D108-J108)</f>
        <v/>
      </c>
      <c r="M108" s="32">
        <f>IF(K108="","",IF(D108&gt;0,K108/D108,"－"))</f>
        <v/>
      </c>
      <c r="N108" s="55">
        <f>IF(L108="","",IF(D108&gt;0,L108/D108,"－"))</f>
        <v/>
      </c>
      <c r="O108" s="50">
        <f>IF(AND(ISNUMBER(M108),ISNUMBER(N108)),(N108-M108)*100,IF($A108="","","－"))</f>
        <v/>
      </c>
      <c r="P108" s="49">
        <f>IF($A108="","",T108-N('案件'!L101))</f>
        <v/>
      </c>
      <c r="Q108" s="49">
        <f>IF($A108="","",U108-N('案件'!M101))</f>
        <v/>
      </c>
      <c r="R108" s="49">
        <f>IF($A108="","",V108-N('案件'!N101))</f>
        <v/>
      </c>
      <c r="S108" s="49">
        <f>IF($A108="","",W108-N('案件'!O101))</f>
        <v/>
      </c>
      <c r="T108" s="94">
        <f>IF($A108="","",SUMIFS('原価明細'!$K$5:$K$1504,'原価明細'!$B$5:$B$1504,$A108,'原価明細'!$D$5:$D$1504,"材料費"))</f>
        <v/>
      </c>
      <c r="U108" s="94">
        <f>IF($A108="","",SUMIFS('原価明細'!$K$5:$K$1504,'原価明細'!$B$5:$B$1504,$A108,'原価明細'!$D$5:$D$1504,"労務費"))</f>
        <v/>
      </c>
      <c r="V108" s="94">
        <f>IF($A108="","",SUMIFS('原価明細'!$K$5:$K$1504,'原価明細'!$B$5:$B$1504,$A108,'原価明細'!$D$5:$D$1504,"外注費"))</f>
        <v/>
      </c>
      <c r="W108" s="94">
        <f>IF($A108="","",SUMIFS('原価明細'!$K$5:$K$1504,'原価明細'!$B$5:$B$1504,$A108,'原価明細'!$D$5:$D$1504,"経費"))</f>
        <v/>
      </c>
      <c r="X108" s="95">
        <f>IF($A108="","",IF(ISNUMBER('案件'!G101),'案件'!G101,""))</f>
        <v/>
      </c>
      <c r="Y108" s="91">
        <f>IF($A108="",0,1)</f>
        <v/>
      </c>
    </row>
    <row r="109" ht="17" customHeight="1">
      <c r="A109" s="53">
        <f>IF('案件'!A102="","",'案件'!A102)</f>
        <v/>
      </c>
      <c r="B109" s="37">
        <f>IF($A109="","",'案件'!B102&amp;"")</f>
        <v/>
      </c>
      <c r="C109" s="53">
        <f>IF($A109="","",'案件'!H102&amp;"")</f>
        <v/>
      </c>
      <c r="D109" s="31">
        <f>IF($A109="","",IF(ISNUMBER('案件'!K102),'案件'!K102,""))</f>
        <v/>
      </c>
      <c r="E109" s="31">
        <f>IF($A109="","",SUM('案件'!L102:O102))</f>
        <v/>
      </c>
      <c r="F109" s="30">
        <f>IF($A109="","",SUM(T109:W109))</f>
        <v/>
      </c>
      <c r="G109" s="49">
        <f>IF($A109="","",F109-E109)</f>
        <v/>
      </c>
      <c r="H109" s="32">
        <f>IF($A109="","",IF(E109&gt;0,F109/E109,"－"))</f>
        <v/>
      </c>
      <c r="I109" s="54">
        <f>IF($A109="","",IF(F109=0,"",IF(E109&lt;=0,"予定なし",IF(F109&gt;E109,"超過",IF(AND(C109&lt;&gt;"完了",C109&lt;&gt;"中止",ISNUMBER('設定'!$B$6),'設定'!$B$6&gt;0,F109/E109&gt;='設定'!$B$6),"注意","予定内")))))</f>
        <v/>
      </c>
      <c r="J109" s="31">
        <f>IF($A109="","",IF(OR(C109="完了",C109="中止"),F109,MAX(T109,N('案件'!L102))+MAX(U109,N('案件'!M102))+MAX(V109,N('案件'!N102))+MAX(W109,N('案件'!O102))))</f>
        <v/>
      </c>
      <c r="K109" s="31">
        <f>IF(OR($A109="",NOT(ISNUMBER(D109))),"",D109-E109)</f>
        <v/>
      </c>
      <c r="L109" s="30">
        <f>IF(OR($A109="",NOT(ISNUMBER(D109))),"",D109-J109)</f>
        <v/>
      </c>
      <c r="M109" s="32">
        <f>IF(K109="","",IF(D109&gt;0,K109/D109,"－"))</f>
        <v/>
      </c>
      <c r="N109" s="55">
        <f>IF(L109="","",IF(D109&gt;0,L109/D109,"－"))</f>
        <v/>
      </c>
      <c r="O109" s="50">
        <f>IF(AND(ISNUMBER(M109),ISNUMBER(N109)),(N109-M109)*100,IF($A109="","","－"))</f>
        <v/>
      </c>
      <c r="P109" s="49">
        <f>IF($A109="","",T109-N('案件'!L102))</f>
        <v/>
      </c>
      <c r="Q109" s="49">
        <f>IF($A109="","",U109-N('案件'!M102))</f>
        <v/>
      </c>
      <c r="R109" s="49">
        <f>IF($A109="","",V109-N('案件'!N102))</f>
        <v/>
      </c>
      <c r="S109" s="49">
        <f>IF($A109="","",W109-N('案件'!O102))</f>
        <v/>
      </c>
      <c r="T109" s="94">
        <f>IF($A109="","",SUMIFS('原価明細'!$K$5:$K$1504,'原価明細'!$B$5:$B$1504,$A109,'原価明細'!$D$5:$D$1504,"材料費"))</f>
        <v/>
      </c>
      <c r="U109" s="94">
        <f>IF($A109="","",SUMIFS('原価明細'!$K$5:$K$1504,'原価明細'!$B$5:$B$1504,$A109,'原価明細'!$D$5:$D$1504,"労務費"))</f>
        <v/>
      </c>
      <c r="V109" s="94">
        <f>IF($A109="","",SUMIFS('原価明細'!$K$5:$K$1504,'原価明細'!$B$5:$B$1504,$A109,'原価明細'!$D$5:$D$1504,"外注費"))</f>
        <v/>
      </c>
      <c r="W109" s="94">
        <f>IF($A109="","",SUMIFS('原価明細'!$K$5:$K$1504,'原価明細'!$B$5:$B$1504,$A109,'原価明細'!$D$5:$D$1504,"経費"))</f>
        <v/>
      </c>
      <c r="X109" s="95">
        <f>IF($A109="","",IF(ISNUMBER('案件'!G102),'案件'!G102,""))</f>
        <v/>
      </c>
      <c r="Y109" s="91">
        <f>IF($A109="",0,1)</f>
        <v/>
      </c>
    </row>
    <row r="110" ht="17" customHeight="1">
      <c r="A110" s="53">
        <f>IF('案件'!A103="","",'案件'!A103)</f>
        <v/>
      </c>
      <c r="B110" s="37">
        <f>IF($A110="","",'案件'!B103&amp;"")</f>
        <v/>
      </c>
      <c r="C110" s="53">
        <f>IF($A110="","",'案件'!H103&amp;"")</f>
        <v/>
      </c>
      <c r="D110" s="31">
        <f>IF($A110="","",IF(ISNUMBER('案件'!K103),'案件'!K103,""))</f>
        <v/>
      </c>
      <c r="E110" s="31">
        <f>IF($A110="","",SUM('案件'!L103:O103))</f>
        <v/>
      </c>
      <c r="F110" s="30">
        <f>IF($A110="","",SUM(T110:W110))</f>
        <v/>
      </c>
      <c r="G110" s="49">
        <f>IF($A110="","",F110-E110)</f>
        <v/>
      </c>
      <c r="H110" s="32">
        <f>IF($A110="","",IF(E110&gt;0,F110/E110,"－"))</f>
        <v/>
      </c>
      <c r="I110" s="54">
        <f>IF($A110="","",IF(F110=0,"",IF(E110&lt;=0,"予定なし",IF(F110&gt;E110,"超過",IF(AND(C110&lt;&gt;"完了",C110&lt;&gt;"中止",ISNUMBER('設定'!$B$6),'設定'!$B$6&gt;0,F110/E110&gt;='設定'!$B$6),"注意","予定内")))))</f>
        <v/>
      </c>
      <c r="J110" s="31">
        <f>IF($A110="","",IF(OR(C110="完了",C110="中止"),F110,MAX(T110,N('案件'!L103))+MAX(U110,N('案件'!M103))+MAX(V110,N('案件'!N103))+MAX(W110,N('案件'!O103))))</f>
        <v/>
      </c>
      <c r="K110" s="31">
        <f>IF(OR($A110="",NOT(ISNUMBER(D110))),"",D110-E110)</f>
        <v/>
      </c>
      <c r="L110" s="30">
        <f>IF(OR($A110="",NOT(ISNUMBER(D110))),"",D110-J110)</f>
        <v/>
      </c>
      <c r="M110" s="32">
        <f>IF(K110="","",IF(D110&gt;0,K110/D110,"－"))</f>
        <v/>
      </c>
      <c r="N110" s="55">
        <f>IF(L110="","",IF(D110&gt;0,L110/D110,"－"))</f>
        <v/>
      </c>
      <c r="O110" s="50">
        <f>IF(AND(ISNUMBER(M110),ISNUMBER(N110)),(N110-M110)*100,IF($A110="","","－"))</f>
        <v/>
      </c>
      <c r="P110" s="49">
        <f>IF($A110="","",T110-N('案件'!L103))</f>
        <v/>
      </c>
      <c r="Q110" s="49">
        <f>IF($A110="","",U110-N('案件'!M103))</f>
        <v/>
      </c>
      <c r="R110" s="49">
        <f>IF($A110="","",V110-N('案件'!N103))</f>
        <v/>
      </c>
      <c r="S110" s="49">
        <f>IF($A110="","",W110-N('案件'!O103))</f>
        <v/>
      </c>
      <c r="T110" s="94">
        <f>IF($A110="","",SUMIFS('原価明細'!$K$5:$K$1504,'原価明細'!$B$5:$B$1504,$A110,'原価明細'!$D$5:$D$1504,"材料費"))</f>
        <v/>
      </c>
      <c r="U110" s="94">
        <f>IF($A110="","",SUMIFS('原価明細'!$K$5:$K$1504,'原価明細'!$B$5:$B$1504,$A110,'原価明細'!$D$5:$D$1504,"労務費"))</f>
        <v/>
      </c>
      <c r="V110" s="94">
        <f>IF($A110="","",SUMIFS('原価明細'!$K$5:$K$1504,'原価明細'!$B$5:$B$1504,$A110,'原価明細'!$D$5:$D$1504,"外注費"))</f>
        <v/>
      </c>
      <c r="W110" s="94">
        <f>IF($A110="","",SUMIFS('原価明細'!$K$5:$K$1504,'原価明細'!$B$5:$B$1504,$A110,'原価明細'!$D$5:$D$1504,"経費"))</f>
        <v/>
      </c>
      <c r="X110" s="95">
        <f>IF($A110="","",IF(ISNUMBER('案件'!G103),'案件'!G103,""))</f>
        <v/>
      </c>
      <c r="Y110" s="91">
        <f>IF($A110="",0,1)</f>
        <v/>
      </c>
    </row>
    <row r="111" ht="17" customHeight="1">
      <c r="A111" s="53">
        <f>IF('案件'!A104="","",'案件'!A104)</f>
        <v/>
      </c>
      <c r="B111" s="37">
        <f>IF($A111="","",'案件'!B104&amp;"")</f>
        <v/>
      </c>
      <c r="C111" s="53">
        <f>IF($A111="","",'案件'!H104&amp;"")</f>
        <v/>
      </c>
      <c r="D111" s="31">
        <f>IF($A111="","",IF(ISNUMBER('案件'!K104),'案件'!K104,""))</f>
        <v/>
      </c>
      <c r="E111" s="31">
        <f>IF($A111="","",SUM('案件'!L104:O104))</f>
        <v/>
      </c>
      <c r="F111" s="30">
        <f>IF($A111="","",SUM(T111:W111))</f>
        <v/>
      </c>
      <c r="G111" s="49">
        <f>IF($A111="","",F111-E111)</f>
        <v/>
      </c>
      <c r="H111" s="32">
        <f>IF($A111="","",IF(E111&gt;0,F111/E111,"－"))</f>
        <v/>
      </c>
      <c r="I111" s="54">
        <f>IF($A111="","",IF(F111=0,"",IF(E111&lt;=0,"予定なし",IF(F111&gt;E111,"超過",IF(AND(C111&lt;&gt;"完了",C111&lt;&gt;"中止",ISNUMBER('設定'!$B$6),'設定'!$B$6&gt;0,F111/E111&gt;='設定'!$B$6),"注意","予定内")))))</f>
        <v/>
      </c>
      <c r="J111" s="31">
        <f>IF($A111="","",IF(OR(C111="完了",C111="中止"),F111,MAX(T111,N('案件'!L104))+MAX(U111,N('案件'!M104))+MAX(V111,N('案件'!N104))+MAX(W111,N('案件'!O104))))</f>
        <v/>
      </c>
      <c r="K111" s="31">
        <f>IF(OR($A111="",NOT(ISNUMBER(D111))),"",D111-E111)</f>
        <v/>
      </c>
      <c r="L111" s="30">
        <f>IF(OR($A111="",NOT(ISNUMBER(D111))),"",D111-J111)</f>
        <v/>
      </c>
      <c r="M111" s="32">
        <f>IF(K111="","",IF(D111&gt;0,K111/D111,"－"))</f>
        <v/>
      </c>
      <c r="N111" s="55">
        <f>IF(L111="","",IF(D111&gt;0,L111/D111,"－"))</f>
        <v/>
      </c>
      <c r="O111" s="50">
        <f>IF(AND(ISNUMBER(M111),ISNUMBER(N111)),(N111-M111)*100,IF($A111="","","－"))</f>
        <v/>
      </c>
      <c r="P111" s="49">
        <f>IF($A111="","",T111-N('案件'!L104))</f>
        <v/>
      </c>
      <c r="Q111" s="49">
        <f>IF($A111="","",U111-N('案件'!M104))</f>
        <v/>
      </c>
      <c r="R111" s="49">
        <f>IF($A111="","",V111-N('案件'!N104))</f>
        <v/>
      </c>
      <c r="S111" s="49">
        <f>IF($A111="","",W111-N('案件'!O104))</f>
        <v/>
      </c>
      <c r="T111" s="94">
        <f>IF($A111="","",SUMIFS('原価明細'!$K$5:$K$1504,'原価明細'!$B$5:$B$1504,$A111,'原価明細'!$D$5:$D$1504,"材料費"))</f>
        <v/>
      </c>
      <c r="U111" s="94">
        <f>IF($A111="","",SUMIFS('原価明細'!$K$5:$K$1504,'原価明細'!$B$5:$B$1504,$A111,'原価明細'!$D$5:$D$1504,"労務費"))</f>
        <v/>
      </c>
      <c r="V111" s="94">
        <f>IF($A111="","",SUMIFS('原価明細'!$K$5:$K$1504,'原価明細'!$B$5:$B$1504,$A111,'原価明細'!$D$5:$D$1504,"外注費"))</f>
        <v/>
      </c>
      <c r="W111" s="94">
        <f>IF($A111="","",SUMIFS('原価明細'!$K$5:$K$1504,'原価明細'!$B$5:$B$1504,$A111,'原価明細'!$D$5:$D$1504,"経費"))</f>
        <v/>
      </c>
      <c r="X111" s="95">
        <f>IF($A111="","",IF(ISNUMBER('案件'!G104),'案件'!G104,""))</f>
        <v/>
      </c>
      <c r="Y111" s="91">
        <f>IF($A111="",0,1)</f>
        <v/>
      </c>
    </row>
    <row r="112" ht="17" customHeight="1">
      <c r="A112" s="53">
        <f>IF('案件'!A105="","",'案件'!A105)</f>
        <v/>
      </c>
      <c r="B112" s="37">
        <f>IF($A112="","",'案件'!B105&amp;"")</f>
        <v/>
      </c>
      <c r="C112" s="53">
        <f>IF($A112="","",'案件'!H105&amp;"")</f>
        <v/>
      </c>
      <c r="D112" s="31">
        <f>IF($A112="","",IF(ISNUMBER('案件'!K105),'案件'!K105,""))</f>
        <v/>
      </c>
      <c r="E112" s="31">
        <f>IF($A112="","",SUM('案件'!L105:O105))</f>
        <v/>
      </c>
      <c r="F112" s="30">
        <f>IF($A112="","",SUM(T112:W112))</f>
        <v/>
      </c>
      <c r="G112" s="49">
        <f>IF($A112="","",F112-E112)</f>
        <v/>
      </c>
      <c r="H112" s="32">
        <f>IF($A112="","",IF(E112&gt;0,F112/E112,"－"))</f>
        <v/>
      </c>
      <c r="I112" s="54">
        <f>IF($A112="","",IF(F112=0,"",IF(E112&lt;=0,"予定なし",IF(F112&gt;E112,"超過",IF(AND(C112&lt;&gt;"完了",C112&lt;&gt;"中止",ISNUMBER('設定'!$B$6),'設定'!$B$6&gt;0,F112/E112&gt;='設定'!$B$6),"注意","予定内")))))</f>
        <v/>
      </c>
      <c r="J112" s="31">
        <f>IF($A112="","",IF(OR(C112="完了",C112="中止"),F112,MAX(T112,N('案件'!L105))+MAX(U112,N('案件'!M105))+MAX(V112,N('案件'!N105))+MAX(W112,N('案件'!O105))))</f>
        <v/>
      </c>
      <c r="K112" s="31">
        <f>IF(OR($A112="",NOT(ISNUMBER(D112))),"",D112-E112)</f>
        <v/>
      </c>
      <c r="L112" s="30">
        <f>IF(OR($A112="",NOT(ISNUMBER(D112))),"",D112-J112)</f>
        <v/>
      </c>
      <c r="M112" s="32">
        <f>IF(K112="","",IF(D112&gt;0,K112/D112,"－"))</f>
        <v/>
      </c>
      <c r="N112" s="55">
        <f>IF(L112="","",IF(D112&gt;0,L112/D112,"－"))</f>
        <v/>
      </c>
      <c r="O112" s="50">
        <f>IF(AND(ISNUMBER(M112),ISNUMBER(N112)),(N112-M112)*100,IF($A112="","","－"))</f>
        <v/>
      </c>
      <c r="P112" s="49">
        <f>IF($A112="","",T112-N('案件'!L105))</f>
        <v/>
      </c>
      <c r="Q112" s="49">
        <f>IF($A112="","",U112-N('案件'!M105))</f>
        <v/>
      </c>
      <c r="R112" s="49">
        <f>IF($A112="","",V112-N('案件'!N105))</f>
        <v/>
      </c>
      <c r="S112" s="49">
        <f>IF($A112="","",W112-N('案件'!O105))</f>
        <v/>
      </c>
      <c r="T112" s="94">
        <f>IF($A112="","",SUMIFS('原価明細'!$K$5:$K$1504,'原価明細'!$B$5:$B$1504,$A112,'原価明細'!$D$5:$D$1504,"材料費"))</f>
        <v/>
      </c>
      <c r="U112" s="94">
        <f>IF($A112="","",SUMIFS('原価明細'!$K$5:$K$1504,'原価明細'!$B$5:$B$1504,$A112,'原価明細'!$D$5:$D$1504,"労務費"))</f>
        <v/>
      </c>
      <c r="V112" s="94">
        <f>IF($A112="","",SUMIFS('原価明細'!$K$5:$K$1504,'原価明細'!$B$5:$B$1504,$A112,'原価明細'!$D$5:$D$1504,"外注費"))</f>
        <v/>
      </c>
      <c r="W112" s="94">
        <f>IF($A112="","",SUMIFS('原価明細'!$K$5:$K$1504,'原価明細'!$B$5:$B$1504,$A112,'原価明細'!$D$5:$D$1504,"経費"))</f>
        <v/>
      </c>
      <c r="X112" s="95">
        <f>IF($A112="","",IF(ISNUMBER('案件'!G105),'案件'!G105,""))</f>
        <v/>
      </c>
      <c r="Y112" s="91">
        <f>IF($A112="",0,1)</f>
        <v/>
      </c>
    </row>
  </sheetData>
  <autoFilter ref="A12:S112"/>
  <mergeCells count="14">
    <mergeCell ref="A4:B4"/>
    <mergeCell ref="D11:I11"/>
    <mergeCell ref="A11:C11"/>
    <mergeCell ref="A7:B7"/>
    <mergeCell ref="G9:S9"/>
    <mergeCell ref="A1:S1"/>
    <mergeCell ref="A5:B5"/>
    <mergeCell ref="A3:S3"/>
    <mergeCell ref="A6:B6"/>
    <mergeCell ref="A8:B8"/>
    <mergeCell ref="J11:O11"/>
    <mergeCell ref="A2:S2"/>
    <mergeCell ref="A9:E9"/>
    <mergeCell ref="P11:S11"/>
  </mergeCells>
  <conditionalFormatting sqref="F9">
    <cfRule type="expression" priority="1" dxfId="0">
      <formula>F9&lt;&gt;0</formula>
    </cfRule>
  </conditionalFormatting>
  <conditionalFormatting sqref="G9">
    <cfRule type="expression" priority="2" dxfId="1">
      <formula>$F$9&lt;&gt;0</formula>
    </cfRule>
  </conditionalFormatting>
  <conditionalFormatting sqref="I13:I112">
    <cfRule type="expression" priority="3" dxfId="0">
      <formula>I13="超過"</formula>
    </cfRule>
    <cfRule type="expression" priority="4" dxfId="2">
      <formula>I13="注意"</formula>
    </cfRule>
    <cfRule type="expression" priority="5" dxfId="3">
      <formula>I13="予定内"</formula>
    </cfRule>
    <cfRule type="expression" priority="6" dxfId="4">
      <formula>I13="予定なし"</formula>
    </cfRule>
  </conditionalFormatting>
  <conditionalFormatting sqref="G13:G112">
    <cfRule type="expression" priority="7" dxfId="1">
      <formula>AND(ISNUMBER(G13),G13&gt;0)</formula>
    </cfRule>
  </conditionalFormatting>
  <conditionalFormatting sqref="P13:S112">
    <cfRule type="expression" priority="8" dxfId="1">
      <formula>AND(ISNUMBER(P13),P13&gt;0)</formula>
    </cfRule>
  </conditionalFormatting>
  <conditionalFormatting sqref="G5:G8">
    <cfRule type="expression" priority="9" dxfId="1">
      <formula>AND(ISNUMBER(G5),G5&gt;0)</formula>
    </cfRule>
  </conditionalFormatting>
  <conditionalFormatting sqref="P5:S8">
    <cfRule type="expression" priority="10" dxfId="1">
      <formula>AND(ISNUMBER(P5),P5&gt;0)</formula>
    </cfRule>
  </conditionalFormatting>
  <conditionalFormatting sqref="O13:O112">
    <cfRule type="expression" priority="11" dxfId="1">
      <formula>AND(ISNUMBER(O13),O13&lt;0)</formula>
    </cfRule>
  </conditionalFormatting>
  <conditionalFormatting sqref="O5:O8">
    <cfRule type="expression" priority="12" dxfId="1">
      <formula>AND(ISNUMBER(O5),O5&lt;0)</formula>
    </cfRule>
  </conditionalFormatting>
  <conditionalFormatting sqref="K13:L112">
    <cfRule type="expression" priority="13" dxfId="1">
      <formula>AND(ISNUMBER(K13),K13&lt;0)</formula>
    </cfRule>
  </conditionalFormatting>
  <printOptions horizontalCentered="1"/>
  <pageMargins left="0.4" right="0.4" top="0.45" bottom="0.45" header="0.2" footer="0.2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tabColor rgb="00B9C4CF"/>
    <outlinePr summaryBelow="1" summaryRight="1"/>
    <pageSetUpPr fitToPage="1"/>
  </sheetPr>
  <dimension ref="A1:K65"/>
  <sheetViews>
    <sheetView showGridLines="0" tabSelected="0" workbookViewId="0">
      <selection activeCell="A1" sqref="A1"/>
    </sheetView>
  </sheetViews>
  <sheetFormatPr baseColWidth="8" defaultRowHeight="15"/>
  <cols>
    <col width="4.5" customWidth="1" min="1" max="1"/>
    <col width="11" customWidth="1" min="2" max="2"/>
    <col width="12" customWidth="1" min="3" max="3"/>
    <col width="13" customWidth="1" min="4" max="4"/>
    <col width="13" customWidth="1" min="5" max="5"/>
    <col width="8" customWidth="1" min="6" max="6"/>
    <col width="6" customWidth="1" min="7" max="7"/>
    <col width="11" customWidth="1" min="8" max="8"/>
    <col width="12" customWidth="1" min="9" max="9"/>
    <col width="2" customWidth="1" min="10" max="10"/>
    <col width="8" customWidth="1" min="11" max="11"/>
  </cols>
  <sheetData>
    <row r="1" ht="26" customHeight="1">
      <c r="A1" s="81" t="inlineStr">
        <is>
          <t>案件カード（1件の原価）</t>
        </is>
      </c>
      <c r="B1" s="82" t="n"/>
      <c r="C1" s="82" t="n"/>
      <c r="D1" s="82" t="n"/>
      <c r="E1" s="82" t="n"/>
      <c r="F1" s="82" t="n"/>
      <c r="G1" s="82" t="n"/>
      <c r="H1" s="82" t="n"/>
      <c r="I1" s="82" t="n"/>
      <c r="J1" s="82" t="n"/>
      <c r="K1" s="82" t="n"/>
    </row>
    <row r="2">
      <c r="A2" s="92">
        <f>IF(TRIM('設定'!$B$3)="","",TRIM('設定'!$B$3)&amp;"　")&amp;"金額は"&amp;'設定'!$B$5&amp;"で入れる"</f>
        <v/>
      </c>
      <c r="B2" s="82" t="n"/>
      <c r="C2" s="82" t="n"/>
      <c r="D2" s="82" t="n"/>
      <c r="E2" s="82" t="n"/>
      <c r="F2" s="82" t="n"/>
      <c r="G2" s="82" t="n"/>
      <c r="H2" s="82" t="n"/>
      <c r="I2" s="82" t="n"/>
      <c r="J2" s="82" t="n"/>
      <c r="K2" s="91" t="inlineStr">
        <is>
          <t>計算用</t>
        </is>
      </c>
    </row>
    <row r="3" ht="24" customHeight="1">
      <c r="A3" s="86" t="inlineStr">
        <is>
          <t>案件番号を選ぶ</t>
        </is>
      </c>
      <c r="B3" s="88" t="n"/>
      <c r="C3" s="96" t="n"/>
      <c r="D3" s="88" t="n"/>
      <c r="E3" s="85" t="inlineStr">
        <is>
          <t>▼で選びます（案件シートの番号）。この1件の予定・実際・明細が出ます。</t>
        </is>
      </c>
      <c r="F3" s="82" t="n"/>
      <c r="G3" s="82" t="n"/>
      <c r="H3" s="82" t="n"/>
      <c r="I3" s="82" t="n"/>
      <c r="J3" s="82" t="n"/>
      <c r="K3" s="91">
        <f>IF($C$3="","",IFERROR(MATCH($C$3,'案件'!$A$6:$A$105,0),""))</f>
        <v/>
      </c>
    </row>
    <row r="4">
      <c r="A4" s="97">
        <f>IF(AND($C$3&lt;&gt;"",$K$3=""),"選んだ番号が案件シートにありません。選び直してください。","")</f>
        <v/>
      </c>
      <c r="B4" s="82" t="n"/>
      <c r="C4" s="82" t="n"/>
      <c r="D4" s="82" t="n"/>
      <c r="E4" s="82" t="n"/>
      <c r="F4" s="82" t="n"/>
      <c r="G4" s="82" t="n"/>
      <c r="H4" s="82" t="n"/>
      <c r="I4" s="82" t="n"/>
      <c r="J4" s="82" t="n"/>
      <c r="K4" s="82" t="n"/>
    </row>
    <row r="5" ht="19" customHeight="1">
      <c r="A5" s="86" t="inlineStr">
        <is>
          <t>案件名</t>
        </is>
      </c>
      <c r="B5" s="88" t="n"/>
      <c r="C5" s="60">
        <f>IF($K$3="","",INDEX('案件'!$B$6:$B$105,$K$3)&amp;"")</f>
        <v/>
      </c>
      <c r="D5" s="87" t="n"/>
      <c r="E5" s="87" t="n"/>
      <c r="F5" s="87" t="n"/>
      <c r="G5" s="87" t="n"/>
      <c r="H5" s="87" t="n"/>
      <c r="I5" s="88" t="n"/>
      <c r="J5" s="82" t="n"/>
      <c r="K5" s="82" t="n"/>
    </row>
    <row r="6" ht="19" customHeight="1">
      <c r="A6" s="86" t="inlineStr">
        <is>
          <t>取引先</t>
        </is>
      </c>
      <c r="B6" s="88" t="n"/>
      <c r="C6" s="62">
        <f>IF($K$3="","",INDEX('案件'!$C$6:$C$105,$K$3)&amp;"")</f>
        <v/>
      </c>
      <c r="D6" s="87" t="n"/>
      <c r="E6" s="88" t="n"/>
      <c r="F6" s="86" t="inlineStr">
        <is>
          <t>区分</t>
        </is>
      </c>
      <c r="G6" s="88" t="n"/>
      <c r="H6" s="62">
        <f>IF($K$3="","",INDEX('案件'!$D$6:$D$105,$K$3)&amp;"")</f>
        <v/>
      </c>
      <c r="I6" s="88" t="n"/>
      <c r="J6" s="82" t="n"/>
      <c r="K6" s="82" t="n"/>
    </row>
    <row r="7" ht="19" customHeight="1">
      <c r="A7" s="86" t="inlineStr">
        <is>
          <t>担当</t>
        </is>
      </c>
      <c r="B7" s="88" t="n"/>
      <c r="C7" s="62">
        <f>IF($K$3="","",INDEX('案件'!$E$6:$E$105,$K$3)&amp;"")</f>
        <v/>
      </c>
      <c r="D7" s="87" t="n"/>
      <c r="E7" s="88" t="n"/>
      <c r="F7" s="86" t="inlineStr">
        <is>
          <t>状態</t>
        </is>
      </c>
      <c r="G7" s="88" t="n"/>
      <c r="H7" s="62">
        <f>IF($K$3="","",INDEX('案件'!$H$6:$H$105,$K$3)&amp;"")</f>
        <v/>
      </c>
      <c r="I7" s="88" t="n"/>
      <c r="J7" s="82" t="n"/>
      <c r="K7" s="82" t="n"/>
    </row>
    <row r="8" ht="19" customHeight="1">
      <c r="A8" s="86" t="inlineStr">
        <is>
          <t>開始日</t>
        </is>
      </c>
      <c r="B8" s="88" t="n"/>
      <c r="C8" s="63">
        <f>IF($K$3="","",IF(ISNUMBER(INDEX('案件'!$F$6:$F$105,$K$3)),INDEX('案件'!$F$6:$F$105,$K$3),""))</f>
        <v/>
      </c>
      <c r="D8" s="87" t="n"/>
      <c r="E8" s="88" t="n"/>
      <c r="F8" s="86" t="inlineStr">
        <is>
          <t>完了日</t>
        </is>
      </c>
      <c r="G8" s="88" t="n"/>
      <c r="H8" s="63">
        <f>IF($K$3="","",IF(ISNUMBER(INDEX('案件'!$G$6:$G$105,$K$3)),INDEX('案件'!$G$6:$G$105,$K$3),""))</f>
        <v/>
      </c>
      <c r="I8" s="88" t="n"/>
      <c r="J8" s="82" t="n"/>
      <c r="K8" s="82" t="n"/>
    </row>
    <row r="9" ht="19" customHeight="1">
      <c r="A9" s="86" t="inlineStr">
        <is>
          <t>数量</t>
        </is>
      </c>
      <c r="B9" s="88" t="n"/>
      <c r="C9" s="62">
        <f>IF($K$3="","",IF(ISNUMBER(INDEX('案件'!$I$6:$I$105,$K$3)),INDEX('案件'!$I$6:$I$105,$K$3)&amp;INDEX('案件'!$J$6:$J$105,$K$3)&amp;"",""))</f>
        <v/>
      </c>
      <c r="D9" s="87" t="n"/>
      <c r="E9" s="88" t="n"/>
      <c r="F9" s="86" t="inlineStr">
        <is>
          <t>明細の行数</t>
        </is>
      </c>
      <c r="G9" s="88" t="n"/>
      <c r="H9" s="62">
        <f>IF($C$3="","",COUNTIF('原価明細'!$B$5:$B$1504,$C$3)&amp;"行")</f>
        <v/>
      </c>
      <c r="I9" s="88" t="n"/>
      <c r="J9" s="82" t="n"/>
      <c r="K9" s="82" t="n"/>
    </row>
    <row r="10" ht="8" customHeight="1">
      <c r="A10" s="82" t="n"/>
      <c r="B10" s="82" t="n"/>
      <c r="C10" s="82" t="n"/>
      <c r="D10" s="82" t="n"/>
      <c r="E10" s="82" t="n"/>
      <c r="F10" s="82" t="n"/>
      <c r="G10" s="82" t="n"/>
      <c r="H10" s="82" t="n"/>
      <c r="I10" s="82" t="n"/>
      <c r="J10" s="82" t="n"/>
      <c r="K10" s="82" t="n"/>
    </row>
    <row r="11" ht="20" customHeight="1">
      <c r="A11" s="18" t="inlineStr">
        <is>
          <t>費目</t>
        </is>
      </c>
      <c r="B11" s="88" t="n"/>
      <c r="C11" s="18" t="inlineStr">
        <is>
          <t>予定</t>
        </is>
      </c>
      <c r="D11" s="18" t="inlineStr">
        <is>
          <t>実際</t>
        </is>
      </c>
      <c r="E11" s="18" t="inlineStr">
        <is>
          <t>差異</t>
        </is>
      </c>
      <c r="F11" s="18" t="inlineStr">
        <is>
          <t>消化率</t>
        </is>
      </c>
      <c r="G11" s="88" t="n"/>
      <c r="H11" s="18" t="inlineStr">
        <is>
          <t>判定</t>
        </is>
      </c>
      <c r="I11" s="18" t="inlineStr">
        <is>
          <t>見込み</t>
        </is>
      </c>
      <c r="J11" s="82" t="n"/>
      <c r="K11" s="82" t="n"/>
    </row>
    <row r="12" ht="19" customHeight="1">
      <c r="A12" s="86" t="inlineStr">
        <is>
          <t>材料費</t>
        </is>
      </c>
      <c r="B12" s="88" t="n"/>
      <c r="C12" s="31">
        <f>IF($K$3="","",N(INDEX('案件'!$L$6:$L$105,$K$3)))</f>
        <v/>
      </c>
      <c r="D12" s="31">
        <f>IF($K$3="","",INDEX('案件別集計'!$T$13:$T$112,$K$3))</f>
        <v/>
      </c>
      <c r="E12" s="49">
        <f>IF($K$3="","",D12-C12)</f>
        <v/>
      </c>
      <c r="F12" s="32">
        <f>IF($K$3="","",IF(C12&gt;0,D12/C12,"－"))</f>
        <v/>
      </c>
      <c r="G12" s="88" t="n"/>
      <c r="H12" s="54">
        <f>IF($K$3="","",IF(D12=0,"",IF(C12&lt;=0,"予定なし",IF(D12&gt;C12,"超過",IF(AND($H$7&lt;&gt;"完了",$H$7&lt;&gt;"中止",ISNUMBER('設定'!$B$6),'設定'!$B$6&gt;0,D12/C12&gt;='設定'!$B$6),"注意","予定内")))))</f>
        <v/>
      </c>
      <c r="I12" s="31">
        <f>IF($K$3="","",IF(OR($H$7="完了",$H$7="中止"),D12,MAX(C12,D12)))</f>
        <v/>
      </c>
      <c r="J12" s="82" t="n"/>
      <c r="K12" s="82" t="n"/>
    </row>
    <row r="13" ht="19" customHeight="1">
      <c r="A13" s="86" t="inlineStr">
        <is>
          <t>労務費</t>
        </is>
      </c>
      <c r="B13" s="88" t="n"/>
      <c r="C13" s="31">
        <f>IF($K$3="","",N(INDEX('案件'!$M$6:$M$105,$K$3)))</f>
        <v/>
      </c>
      <c r="D13" s="31">
        <f>IF($K$3="","",INDEX('案件別集計'!$U$13:$U$112,$K$3))</f>
        <v/>
      </c>
      <c r="E13" s="49">
        <f>IF($K$3="","",D13-C13)</f>
        <v/>
      </c>
      <c r="F13" s="32">
        <f>IF($K$3="","",IF(C13&gt;0,D13/C13,"－"))</f>
        <v/>
      </c>
      <c r="G13" s="88" t="n"/>
      <c r="H13" s="54">
        <f>IF($K$3="","",IF(D13=0,"",IF(C13&lt;=0,"予定なし",IF(D13&gt;C13,"超過",IF(AND($H$7&lt;&gt;"完了",$H$7&lt;&gt;"中止",ISNUMBER('設定'!$B$6),'設定'!$B$6&gt;0,D13/C13&gt;='設定'!$B$6),"注意","予定内")))))</f>
        <v/>
      </c>
      <c r="I13" s="31">
        <f>IF($K$3="","",IF(OR($H$7="完了",$H$7="中止"),D13,MAX(C13,D13)))</f>
        <v/>
      </c>
      <c r="J13" s="82" t="n"/>
      <c r="K13" s="82" t="n"/>
    </row>
    <row r="14" ht="19" customHeight="1">
      <c r="A14" s="86" t="inlineStr">
        <is>
          <t>外注費</t>
        </is>
      </c>
      <c r="B14" s="88" t="n"/>
      <c r="C14" s="31">
        <f>IF($K$3="","",N(INDEX('案件'!$N$6:$N$105,$K$3)))</f>
        <v/>
      </c>
      <c r="D14" s="31">
        <f>IF($K$3="","",INDEX('案件別集計'!$V$13:$V$112,$K$3))</f>
        <v/>
      </c>
      <c r="E14" s="49">
        <f>IF($K$3="","",D14-C14)</f>
        <v/>
      </c>
      <c r="F14" s="32">
        <f>IF($K$3="","",IF(C14&gt;0,D14/C14,"－"))</f>
        <v/>
      </c>
      <c r="G14" s="88" t="n"/>
      <c r="H14" s="54">
        <f>IF($K$3="","",IF(D14=0,"",IF(C14&lt;=0,"予定なし",IF(D14&gt;C14,"超過",IF(AND($H$7&lt;&gt;"完了",$H$7&lt;&gt;"中止",ISNUMBER('設定'!$B$6),'設定'!$B$6&gt;0,D14/C14&gt;='設定'!$B$6),"注意","予定内")))))</f>
        <v/>
      </c>
      <c r="I14" s="31">
        <f>IF($K$3="","",IF(OR($H$7="完了",$H$7="中止"),D14,MAX(C14,D14)))</f>
        <v/>
      </c>
      <c r="J14" s="82" t="n"/>
      <c r="K14" s="82" t="n"/>
    </row>
    <row r="15" ht="19" customHeight="1">
      <c r="A15" s="86" t="inlineStr">
        <is>
          <t>経費</t>
        </is>
      </c>
      <c r="B15" s="88" t="n"/>
      <c r="C15" s="31">
        <f>IF($K$3="","",N(INDEX('案件'!$O$6:$O$105,$K$3)))</f>
        <v/>
      </c>
      <c r="D15" s="31">
        <f>IF($K$3="","",INDEX('案件別集計'!$W$13:$W$112,$K$3))</f>
        <v/>
      </c>
      <c r="E15" s="49">
        <f>IF($K$3="","",D15-C15)</f>
        <v/>
      </c>
      <c r="F15" s="32">
        <f>IF($K$3="","",IF(C15&gt;0,D15/C15,"－"))</f>
        <v/>
      </c>
      <c r="G15" s="88" t="n"/>
      <c r="H15" s="54">
        <f>IF($K$3="","",IF(D15=0,"",IF(C15&lt;=0,"予定なし",IF(D15&gt;C15,"超過",IF(AND($H$7&lt;&gt;"完了",$H$7&lt;&gt;"中止",ISNUMBER('設定'!$B$6),'設定'!$B$6&gt;0,D15/C15&gt;='設定'!$B$6),"注意","予定内")))))</f>
        <v/>
      </c>
      <c r="I15" s="31">
        <f>IF($K$3="","",IF(OR($H$7="完了",$H$7="中止"),D15,MAX(C15,D15)))</f>
        <v/>
      </c>
      <c r="J15" s="82" t="n"/>
      <c r="K15" s="82" t="n"/>
    </row>
    <row r="16" ht="19" customHeight="1">
      <c r="A16" s="65" t="inlineStr">
        <is>
          <t>原価 計</t>
        </is>
      </c>
      <c r="B16" s="88" t="n"/>
      <c r="C16" s="30">
        <f>IF($K$3="","",SUM(C12:C15))</f>
        <v/>
      </c>
      <c r="D16" s="30">
        <f>IF($K$3="","",SUM(D12:D15))</f>
        <v/>
      </c>
      <c r="E16" s="45">
        <f>IF($K$3="","",D16-C16)</f>
        <v/>
      </c>
      <c r="F16" s="46">
        <f>IF($K$3="","",IF(C16&gt;0,D16/C16,"－"))</f>
        <v/>
      </c>
      <c r="G16" s="88" t="n"/>
      <c r="H16" s="67">
        <f>IF($K$3="","",IF(D16=0,"",IF(C16&lt;=0,"予定なし",IF(D16&gt;C16,"超過",IF(AND($H$7&lt;&gt;"完了",$H$7&lt;&gt;"中止",ISNUMBER('設定'!$B$6),'設定'!$B$6&gt;0,D16/C16&gt;='設定'!$B$6),"注意","予定内")))))</f>
        <v/>
      </c>
      <c r="I16" s="30">
        <f>IF($K$3="","",SUM(I12:I15))</f>
        <v/>
      </c>
      <c r="J16" s="82" t="n"/>
      <c r="K16" s="82" t="n"/>
    </row>
    <row r="17" ht="19" customHeight="1">
      <c r="A17" s="86" t="inlineStr">
        <is>
          <t>受注金額</t>
        </is>
      </c>
      <c r="B17" s="88" t="n"/>
      <c r="C17" s="52">
        <f>IF($K$3="","",IF(ISNUMBER(INDEX('案件'!$K$6:$K$105,$K$3)),INDEX('案件'!$K$6:$K$105,$K$3),""))</f>
        <v/>
      </c>
      <c r="D17" s="98" t="inlineStr">
        <is>
          <t>見込み＝完了・中止の案件は実際。それ以外は費目ごとに予定と実際の大きいほう。</t>
        </is>
      </c>
      <c r="E17" s="82" t="n"/>
      <c r="F17" s="82" t="n"/>
      <c r="G17" s="82" t="n"/>
      <c r="H17" s="82" t="n"/>
      <c r="I17" s="82" t="n"/>
      <c r="J17" s="82" t="n"/>
      <c r="K17" s="82" t="n"/>
    </row>
    <row r="18">
      <c r="A18" s="18" t="inlineStr">
        <is>
          <t>粗利</t>
        </is>
      </c>
      <c r="B18" s="88" t="n"/>
      <c r="C18" s="18" t="inlineStr">
        <is>
          <t>予定</t>
        </is>
      </c>
      <c r="D18" s="18" t="inlineStr">
        <is>
          <t>見込み</t>
        </is>
      </c>
      <c r="E18" s="18" t="inlineStr">
        <is>
          <t>差</t>
        </is>
      </c>
      <c r="F18" s="18" t="n"/>
      <c r="G18" s="87" t="n"/>
      <c r="H18" s="87" t="n"/>
      <c r="I18" s="88" t="n"/>
      <c r="J18" s="82" t="n"/>
      <c r="K18" s="82" t="n"/>
    </row>
    <row r="19" ht="19" customHeight="1">
      <c r="A19" s="86" t="inlineStr">
        <is>
          <t>粗利（円）</t>
        </is>
      </c>
      <c r="B19" s="88" t="n"/>
      <c r="C19" s="52">
        <f>IF(ISNUMBER(C17),C17-C16,"")</f>
        <v/>
      </c>
      <c r="D19" s="52">
        <f>IF(ISNUMBER(C17),C17-I16,"")</f>
        <v/>
      </c>
      <c r="E19" s="49">
        <f>IF(AND(ISNUMBER(C19),ISNUMBER(D19)),D19-C19,"")</f>
        <v/>
      </c>
      <c r="F19" s="69" t="inlineStr">
        <is>
          <t>受注金額−原価</t>
        </is>
      </c>
      <c r="G19" s="87" t="n"/>
      <c r="H19" s="87" t="n"/>
      <c r="I19" s="88" t="n"/>
      <c r="J19" s="82" t="n"/>
      <c r="K19" s="82" t="n"/>
    </row>
    <row r="20" ht="19" customHeight="1">
      <c r="A20" s="86" t="inlineStr">
        <is>
          <t>粗利率</t>
        </is>
      </c>
      <c r="B20" s="88" t="n"/>
      <c r="C20" s="55">
        <f>IF(NOT(ISNUMBER(C19)),"",IF(C17&gt;0,C19/C17,"－"))</f>
        <v/>
      </c>
      <c r="D20" s="55">
        <f>IF(NOT(ISNUMBER(D19)),"",IF(C17&gt;0,D19/C17,"－"))</f>
        <v/>
      </c>
      <c r="E20" s="50">
        <f>IF(AND(ISNUMBER(C20),ISNUMBER(D20)),(D20-C20)*100,"")</f>
        <v/>
      </c>
      <c r="F20" s="69" t="inlineStr">
        <is>
          <t>粗利÷受注金額</t>
        </is>
      </c>
      <c r="G20" s="87" t="n"/>
      <c r="H20" s="87" t="n"/>
      <c r="I20" s="88" t="n"/>
      <c r="J20" s="82" t="n"/>
      <c r="K20" s="82" t="n"/>
    </row>
    <row r="21" ht="19" customHeight="1">
      <c r="A21" s="86" t="inlineStr">
        <is>
          <t>数量あたり原価</t>
        </is>
      </c>
      <c r="B21" s="88" t="n"/>
      <c r="C21" s="52">
        <f>IF($K$3="","",IF(ISNUMBER(INDEX('案件'!$I$6:$I$105,$K$3)),IF(INDEX('案件'!$I$6:$I$105,$K$3)&gt;0,C16/INDEX('案件'!$I$6:$I$105,$K$3),""),""))</f>
        <v/>
      </c>
      <c r="D21" s="52">
        <f>IF($K$3="","",IF(ISNUMBER(INDEX('案件'!$I$6:$I$105,$K$3)),IF(INDEX('案件'!$I$6:$I$105,$K$3)&gt;0,I16/INDEX('案件'!$I$6:$I$105,$K$3),""),""))</f>
        <v/>
      </c>
      <c r="E21" s="70" t="n"/>
      <c r="F21" s="69">
        <f>IF(C21="","","（"&amp;IF(INDEX('案件'!$J$6:$J$105,$K$3)&amp;""="","数量1",INDEX('案件'!$J$6:$J$105,$K$3)&amp;"")&amp;"あたり。予定原価・見込み原価を数量で割った値）")</f>
        <v/>
      </c>
      <c r="G21" s="87" t="n"/>
      <c r="H21" s="87" t="n"/>
      <c r="I21" s="88" t="n"/>
      <c r="J21" s="82" t="n"/>
      <c r="K21" s="82" t="n"/>
    </row>
    <row r="22" ht="8" customHeight="1">
      <c r="A22" s="82" t="n"/>
      <c r="B22" s="82" t="n"/>
      <c r="C22" s="82" t="n"/>
      <c r="D22" s="82" t="n"/>
      <c r="E22" s="82" t="n"/>
      <c r="F22" s="82" t="n"/>
      <c r="G22" s="82" t="n"/>
      <c r="H22" s="82" t="n"/>
      <c r="I22" s="82" t="n"/>
      <c r="J22" s="82" t="n"/>
      <c r="K22" s="82" t="n"/>
    </row>
    <row r="23" ht="20" customHeight="1">
      <c r="A23" s="89" t="inlineStr">
        <is>
          <t>原価の明細（この案件・入力した順に40行まで）</t>
        </is>
      </c>
      <c r="B23" s="82" t="n"/>
      <c r="C23" s="82" t="n"/>
      <c r="D23" s="82" t="n"/>
      <c r="E23" s="82" t="n"/>
      <c r="F23" s="82" t="n"/>
      <c r="G23" s="82" t="n"/>
      <c r="H23" s="82" t="n"/>
      <c r="I23" s="82" t="n"/>
      <c r="J23" s="82" t="n"/>
      <c r="K23" s="82" t="n"/>
    </row>
    <row r="24">
      <c r="A24" s="18" t="inlineStr">
        <is>
          <t>No</t>
        </is>
      </c>
      <c r="B24" s="18" t="inlineStr">
        <is>
          <t>日付</t>
        </is>
      </c>
      <c r="C24" s="18" t="inlineStr">
        <is>
          <t>費目</t>
        </is>
      </c>
      <c r="D24" s="18" t="inlineStr">
        <is>
          <t>内容</t>
        </is>
      </c>
      <c r="E24" s="88" t="n"/>
      <c r="F24" s="18" t="inlineStr">
        <is>
          <t>数量</t>
        </is>
      </c>
      <c r="G24" s="18" t="inlineStr">
        <is>
          <t>単位</t>
        </is>
      </c>
      <c r="H24" s="18" t="inlineStr">
        <is>
          <t>単価</t>
        </is>
      </c>
      <c r="I24" s="18" t="inlineStr">
        <is>
          <t>金額</t>
        </is>
      </c>
      <c r="J24" s="82" t="n"/>
      <c r="K24" s="91" t="inlineStr">
        <is>
          <t>計算用（行）</t>
        </is>
      </c>
    </row>
    <row r="25" ht="15" customHeight="1">
      <c r="A25" s="71">
        <f>IF($K25="","",1)</f>
        <v/>
      </c>
      <c r="B25" s="72">
        <f>IF($K25="","",IF(ISNUMBER(INDEX('原価明細'!$A$5:$A$1504,$K25)),INDEX('原価明細'!$A$5:$A$1504,$K25),""))</f>
        <v/>
      </c>
      <c r="C25" s="53">
        <f>IF($K25="","",INDEX('原価明細'!$D$5:$D$1504,$K25)&amp;"")</f>
        <v/>
      </c>
      <c r="D25" s="37">
        <f>IF($K25="","",INDEX('原価明細'!$E$5:$E$1504,$K25)&amp;"")</f>
        <v/>
      </c>
      <c r="E25" s="88" t="n"/>
      <c r="F25" s="70">
        <f>IF($K25="","",IF(ISNUMBER(INDEX('原価明細'!$F$5:$F$1504,$K25)),INDEX('原価明細'!$F$5:$F$1504,$K25),""))</f>
        <v/>
      </c>
      <c r="G25" s="53">
        <f>IF($K25="","",INDEX('原価明細'!$G$5:$G$1504,$K25)&amp;"")</f>
        <v/>
      </c>
      <c r="H25" s="31">
        <f>IF($K25="","",IF(ISNUMBER(INDEX('原価明細'!$J$5:$J$1504,$K25)),INDEX('原価明細'!$J$5:$J$1504,$K25),""))</f>
        <v/>
      </c>
      <c r="I25" s="52">
        <f>IF($K25="","",IF(ISNUMBER(INDEX('原価明細'!$K$5:$K$1504,$K25)),INDEX('原価明細'!$K$5:$K$1504,$K25),""))</f>
        <v/>
      </c>
      <c r="J25" s="82" t="n"/>
      <c r="K25" s="91">
        <f>IFERROR(MATCH(1,'原価明細'!$N$5:$N$1504,0),"")</f>
        <v/>
      </c>
    </row>
    <row r="26" ht="15" customHeight="1">
      <c r="A26" s="71">
        <f>IF($K26="","",2)</f>
        <v/>
      </c>
      <c r="B26" s="72">
        <f>IF($K26="","",IF(ISNUMBER(INDEX('原価明細'!$A$5:$A$1504,$K26)),INDEX('原価明細'!$A$5:$A$1504,$K26),""))</f>
        <v/>
      </c>
      <c r="C26" s="53">
        <f>IF($K26="","",INDEX('原価明細'!$D$5:$D$1504,$K26)&amp;"")</f>
        <v/>
      </c>
      <c r="D26" s="37">
        <f>IF($K26="","",INDEX('原価明細'!$E$5:$E$1504,$K26)&amp;"")</f>
        <v/>
      </c>
      <c r="E26" s="88" t="n"/>
      <c r="F26" s="70">
        <f>IF($K26="","",IF(ISNUMBER(INDEX('原価明細'!$F$5:$F$1504,$K26)),INDEX('原価明細'!$F$5:$F$1504,$K26),""))</f>
        <v/>
      </c>
      <c r="G26" s="53">
        <f>IF($K26="","",INDEX('原価明細'!$G$5:$G$1504,$K26)&amp;"")</f>
        <v/>
      </c>
      <c r="H26" s="31">
        <f>IF($K26="","",IF(ISNUMBER(INDEX('原価明細'!$J$5:$J$1504,$K26)),INDEX('原価明細'!$J$5:$J$1504,$K26),""))</f>
        <v/>
      </c>
      <c r="I26" s="52">
        <f>IF($K26="","",IF(ISNUMBER(INDEX('原価明細'!$K$5:$K$1504,$K26)),INDEX('原価明細'!$K$5:$K$1504,$K26),""))</f>
        <v/>
      </c>
      <c r="J26" s="82" t="n"/>
      <c r="K26" s="91">
        <f>IFERROR(MATCH(2,'原価明細'!$N$5:$N$1504,0),"")</f>
        <v/>
      </c>
    </row>
    <row r="27" ht="15" customHeight="1">
      <c r="A27" s="71">
        <f>IF($K27="","",3)</f>
        <v/>
      </c>
      <c r="B27" s="72">
        <f>IF($K27="","",IF(ISNUMBER(INDEX('原価明細'!$A$5:$A$1504,$K27)),INDEX('原価明細'!$A$5:$A$1504,$K27),""))</f>
        <v/>
      </c>
      <c r="C27" s="53">
        <f>IF($K27="","",INDEX('原価明細'!$D$5:$D$1504,$K27)&amp;"")</f>
        <v/>
      </c>
      <c r="D27" s="37">
        <f>IF($K27="","",INDEX('原価明細'!$E$5:$E$1504,$K27)&amp;"")</f>
        <v/>
      </c>
      <c r="E27" s="88" t="n"/>
      <c r="F27" s="70">
        <f>IF($K27="","",IF(ISNUMBER(INDEX('原価明細'!$F$5:$F$1504,$K27)),INDEX('原価明細'!$F$5:$F$1504,$K27),""))</f>
        <v/>
      </c>
      <c r="G27" s="53">
        <f>IF($K27="","",INDEX('原価明細'!$G$5:$G$1504,$K27)&amp;"")</f>
        <v/>
      </c>
      <c r="H27" s="31">
        <f>IF($K27="","",IF(ISNUMBER(INDEX('原価明細'!$J$5:$J$1504,$K27)),INDEX('原価明細'!$J$5:$J$1504,$K27),""))</f>
        <v/>
      </c>
      <c r="I27" s="52">
        <f>IF($K27="","",IF(ISNUMBER(INDEX('原価明細'!$K$5:$K$1504,$K27)),INDEX('原価明細'!$K$5:$K$1504,$K27),""))</f>
        <v/>
      </c>
      <c r="J27" s="82" t="n"/>
      <c r="K27" s="91">
        <f>IFERROR(MATCH(3,'原価明細'!$N$5:$N$1504,0),"")</f>
        <v/>
      </c>
    </row>
    <row r="28" ht="15" customHeight="1">
      <c r="A28" s="71">
        <f>IF($K28="","",4)</f>
        <v/>
      </c>
      <c r="B28" s="72">
        <f>IF($K28="","",IF(ISNUMBER(INDEX('原価明細'!$A$5:$A$1504,$K28)),INDEX('原価明細'!$A$5:$A$1504,$K28),""))</f>
        <v/>
      </c>
      <c r="C28" s="53">
        <f>IF($K28="","",INDEX('原価明細'!$D$5:$D$1504,$K28)&amp;"")</f>
        <v/>
      </c>
      <c r="D28" s="37">
        <f>IF($K28="","",INDEX('原価明細'!$E$5:$E$1504,$K28)&amp;"")</f>
        <v/>
      </c>
      <c r="E28" s="88" t="n"/>
      <c r="F28" s="70">
        <f>IF($K28="","",IF(ISNUMBER(INDEX('原価明細'!$F$5:$F$1504,$K28)),INDEX('原価明細'!$F$5:$F$1504,$K28),""))</f>
        <v/>
      </c>
      <c r="G28" s="53">
        <f>IF($K28="","",INDEX('原価明細'!$G$5:$G$1504,$K28)&amp;"")</f>
        <v/>
      </c>
      <c r="H28" s="31">
        <f>IF($K28="","",IF(ISNUMBER(INDEX('原価明細'!$J$5:$J$1504,$K28)),INDEX('原価明細'!$J$5:$J$1504,$K28),""))</f>
        <v/>
      </c>
      <c r="I28" s="52">
        <f>IF($K28="","",IF(ISNUMBER(INDEX('原価明細'!$K$5:$K$1504,$K28)),INDEX('原価明細'!$K$5:$K$1504,$K28),""))</f>
        <v/>
      </c>
      <c r="J28" s="82" t="n"/>
      <c r="K28" s="91">
        <f>IFERROR(MATCH(4,'原価明細'!$N$5:$N$1504,0),"")</f>
        <v/>
      </c>
    </row>
    <row r="29" ht="15" customHeight="1">
      <c r="A29" s="71">
        <f>IF($K29="","",5)</f>
        <v/>
      </c>
      <c r="B29" s="72">
        <f>IF($K29="","",IF(ISNUMBER(INDEX('原価明細'!$A$5:$A$1504,$K29)),INDEX('原価明細'!$A$5:$A$1504,$K29),""))</f>
        <v/>
      </c>
      <c r="C29" s="53">
        <f>IF($K29="","",INDEX('原価明細'!$D$5:$D$1504,$K29)&amp;"")</f>
        <v/>
      </c>
      <c r="D29" s="37">
        <f>IF($K29="","",INDEX('原価明細'!$E$5:$E$1504,$K29)&amp;"")</f>
        <v/>
      </c>
      <c r="E29" s="88" t="n"/>
      <c r="F29" s="70">
        <f>IF($K29="","",IF(ISNUMBER(INDEX('原価明細'!$F$5:$F$1504,$K29)),INDEX('原価明細'!$F$5:$F$1504,$K29),""))</f>
        <v/>
      </c>
      <c r="G29" s="53">
        <f>IF($K29="","",INDEX('原価明細'!$G$5:$G$1504,$K29)&amp;"")</f>
        <v/>
      </c>
      <c r="H29" s="31">
        <f>IF($K29="","",IF(ISNUMBER(INDEX('原価明細'!$J$5:$J$1504,$K29)),INDEX('原価明細'!$J$5:$J$1504,$K29),""))</f>
        <v/>
      </c>
      <c r="I29" s="52">
        <f>IF($K29="","",IF(ISNUMBER(INDEX('原価明細'!$K$5:$K$1504,$K29)),INDEX('原価明細'!$K$5:$K$1504,$K29),""))</f>
        <v/>
      </c>
      <c r="J29" s="82" t="n"/>
      <c r="K29" s="91">
        <f>IFERROR(MATCH(5,'原価明細'!$N$5:$N$1504,0),"")</f>
        <v/>
      </c>
    </row>
    <row r="30" ht="15" customHeight="1">
      <c r="A30" s="71">
        <f>IF($K30="","",6)</f>
        <v/>
      </c>
      <c r="B30" s="72">
        <f>IF($K30="","",IF(ISNUMBER(INDEX('原価明細'!$A$5:$A$1504,$K30)),INDEX('原価明細'!$A$5:$A$1504,$K30),""))</f>
        <v/>
      </c>
      <c r="C30" s="53">
        <f>IF($K30="","",INDEX('原価明細'!$D$5:$D$1504,$K30)&amp;"")</f>
        <v/>
      </c>
      <c r="D30" s="37">
        <f>IF($K30="","",INDEX('原価明細'!$E$5:$E$1504,$K30)&amp;"")</f>
        <v/>
      </c>
      <c r="E30" s="88" t="n"/>
      <c r="F30" s="70">
        <f>IF($K30="","",IF(ISNUMBER(INDEX('原価明細'!$F$5:$F$1504,$K30)),INDEX('原価明細'!$F$5:$F$1504,$K30),""))</f>
        <v/>
      </c>
      <c r="G30" s="53">
        <f>IF($K30="","",INDEX('原価明細'!$G$5:$G$1504,$K30)&amp;"")</f>
        <v/>
      </c>
      <c r="H30" s="31">
        <f>IF($K30="","",IF(ISNUMBER(INDEX('原価明細'!$J$5:$J$1504,$K30)),INDEX('原価明細'!$J$5:$J$1504,$K30),""))</f>
        <v/>
      </c>
      <c r="I30" s="52">
        <f>IF($K30="","",IF(ISNUMBER(INDEX('原価明細'!$K$5:$K$1504,$K30)),INDEX('原価明細'!$K$5:$K$1504,$K30),""))</f>
        <v/>
      </c>
      <c r="J30" s="82" t="n"/>
      <c r="K30" s="91">
        <f>IFERROR(MATCH(6,'原価明細'!$N$5:$N$1504,0),"")</f>
        <v/>
      </c>
    </row>
    <row r="31" ht="15" customHeight="1">
      <c r="A31" s="71">
        <f>IF($K31="","",7)</f>
        <v/>
      </c>
      <c r="B31" s="72">
        <f>IF($K31="","",IF(ISNUMBER(INDEX('原価明細'!$A$5:$A$1504,$K31)),INDEX('原価明細'!$A$5:$A$1504,$K31),""))</f>
        <v/>
      </c>
      <c r="C31" s="53">
        <f>IF($K31="","",INDEX('原価明細'!$D$5:$D$1504,$K31)&amp;"")</f>
        <v/>
      </c>
      <c r="D31" s="37">
        <f>IF($K31="","",INDEX('原価明細'!$E$5:$E$1504,$K31)&amp;"")</f>
        <v/>
      </c>
      <c r="E31" s="88" t="n"/>
      <c r="F31" s="70">
        <f>IF($K31="","",IF(ISNUMBER(INDEX('原価明細'!$F$5:$F$1504,$K31)),INDEX('原価明細'!$F$5:$F$1504,$K31),""))</f>
        <v/>
      </c>
      <c r="G31" s="53">
        <f>IF($K31="","",INDEX('原価明細'!$G$5:$G$1504,$K31)&amp;"")</f>
        <v/>
      </c>
      <c r="H31" s="31">
        <f>IF($K31="","",IF(ISNUMBER(INDEX('原価明細'!$J$5:$J$1504,$K31)),INDEX('原価明細'!$J$5:$J$1504,$K31),""))</f>
        <v/>
      </c>
      <c r="I31" s="52">
        <f>IF($K31="","",IF(ISNUMBER(INDEX('原価明細'!$K$5:$K$1504,$K31)),INDEX('原価明細'!$K$5:$K$1504,$K31),""))</f>
        <v/>
      </c>
      <c r="J31" s="82" t="n"/>
      <c r="K31" s="91">
        <f>IFERROR(MATCH(7,'原価明細'!$N$5:$N$1504,0),"")</f>
        <v/>
      </c>
    </row>
    <row r="32" ht="15" customHeight="1">
      <c r="A32" s="71">
        <f>IF($K32="","",8)</f>
        <v/>
      </c>
      <c r="B32" s="72">
        <f>IF($K32="","",IF(ISNUMBER(INDEX('原価明細'!$A$5:$A$1504,$K32)),INDEX('原価明細'!$A$5:$A$1504,$K32),""))</f>
        <v/>
      </c>
      <c r="C32" s="53">
        <f>IF($K32="","",INDEX('原価明細'!$D$5:$D$1504,$K32)&amp;"")</f>
        <v/>
      </c>
      <c r="D32" s="37">
        <f>IF($K32="","",INDEX('原価明細'!$E$5:$E$1504,$K32)&amp;"")</f>
        <v/>
      </c>
      <c r="E32" s="88" t="n"/>
      <c r="F32" s="70">
        <f>IF($K32="","",IF(ISNUMBER(INDEX('原価明細'!$F$5:$F$1504,$K32)),INDEX('原価明細'!$F$5:$F$1504,$K32),""))</f>
        <v/>
      </c>
      <c r="G32" s="53">
        <f>IF($K32="","",INDEX('原価明細'!$G$5:$G$1504,$K32)&amp;"")</f>
        <v/>
      </c>
      <c r="H32" s="31">
        <f>IF($K32="","",IF(ISNUMBER(INDEX('原価明細'!$J$5:$J$1504,$K32)),INDEX('原価明細'!$J$5:$J$1504,$K32),""))</f>
        <v/>
      </c>
      <c r="I32" s="52">
        <f>IF($K32="","",IF(ISNUMBER(INDEX('原価明細'!$K$5:$K$1504,$K32)),INDEX('原価明細'!$K$5:$K$1504,$K32),""))</f>
        <v/>
      </c>
      <c r="J32" s="82" t="n"/>
      <c r="K32" s="91">
        <f>IFERROR(MATCH(8,'原価明細'!$N$5:$N$1504,0),"")</f>
        <v/>
      </c>
    </row>
    <row r="33" ht="15" customHeight="1">
      <c r="A33" s="71">
        <f>IF($K33="","",9)</f>
        <v/>
      </c>
      <c r="B33" s="72">
        <f>IF($K33="","",IF(ISNUMBER(INDEX('原価明細'!$A$5:$A$1504,$K33)),INDEX('原価明細'!$A$5:$A$1504,$K33),""))</f>
        <v/>
      </c>
      <c r="C33" s="53">
        <f>IF($K33="","",INDEX('原価明細'!$D$5:$D$1504,$K33)&amp;"")</f>
        <v/>
      </c>
      <c r="D33" s="37">
        <f>IF($K33="","",INDEX('原価明細'!$E$5:$E$1504,$K33)&amp;"")</f>
        <v/>
      </c>
      <c r="E33" s="88" t="n"/>
      <c r="F33" s="70">
        <f>IF($K33="","",IF(ISNUMBER(INDEX('原価明細'!$F$5:$F$1504,$K33)),INDEX('原価明細'!$F$5:$F$1504,$K33),""))</f>
        <v/>
      </c>
      <c r="G33" s="53">
        <f>IF($K33="","",INDEX('原価明細'!$G$5:$G$1504,$K33)&amp;"")</f>
        <v/>
      </c>
      <c r="H33" s="31">
        <f>IF($K33="","",IF(ISNUMBER(INDEX('原価明細'!$J$5:$J$1504,$K33)),INDEX('原価明細'!$J$5:$J$1504,$K33),""))</f>
        <v/>
      </c>
      <c r="I33" s="52">
        <f>IF($K33="","",IF(ISNUMBER(INDEX('原価明細'!$K$5:$K$1504,$K33)),INDEX('原価明細'!$K$5:$K$1504,$K33),""))</f>
        <v/>
      </c>
      <c r="J33" s="82" t="n"/>
      <c r="K33" s="91">
        <f>IFERROR(MATCH(9,'原価明細'!$N$5:$N$1504,0),"")</f>
        <v/>
      </c>
    </row>
    <row r="34" ht="15" customHeight="1">
      <c r="A34" s="71">
        <f>IF($K34="","",10)</f>
        <v/>
      </c>
      <c r="B34" s="72">
        <f>IF($K34="","",IF(ISNUMBER(INDEX('原価明細'!$A$5:$A$1504,$K34)),INDEX('原価明細'!$A$5:$A$1504,$K34),""))</f>
        <v/>
      </c>
      <c r="C34" s="53">
        <f>IF($K34="","",INDEX('原価明細'!$D$5:$D$1504,$K34)&amp;"")</f>
        <v/>
      </c>
      <c r="D34" s="37">
        <f>IF($K34="","",INDEX('原価明細'!$E$5:$E$1504,$K34)&amp;"")</f>
        <v/>
      </c>
      <c r="E34" s="88" t="n"/>
      <c r="F34" s="70">
        <f>IF($K34="","",IF(ISNUMBER(INDEX('原価明細'!$F$5:$F$1504,$K34)),INDEX('原価明細'!$F$5:$F$1504,$K34),""))</f>
        <v/>
      </c>
      <c r="G34" s="53">
        <f>IF($K34="","",INDEX('原価明細'!$G$5:$G$1504,$K34)&amp;"")</f>
        <v/>
      </c>
      <c r="H34" s="31">
        <f>IF($K34="","",IF(ISNUMBER(INDEX('原価明細'!$J$5:$J$1504,$K34)),INDEX('原価明細'!$J$5:$J$1504,$K34),""))</f>
        <v/>
      </c>
      <c r="I34" s="52">
        <f>IF($K34="","",IF(ISNUMBER(INDEX('原価明細'!$K$5:$K$1504,$K34)),INDEX('原価明細'!$K$5:$K$1504,$K34),""))</f>
        <v/>
      </c>
      <c r="J34" s="82" t="n"/>
      <c r="K34" s="91">
        <f>IFERROR(MATCH(10,'原価明細'!$N$5:$N$1504,0),"")</f>
        <v/>
      </c>
    </row>
    <row r="35" ht="15" customHeight="1">
      <c r="A35" s="71">
        <f>IF($K35="","",11)</f>
        <v/>
      </c>
      <c r="B35" s="72">
        <f>IF($K35="","",IF(ISNUMBER(INDEX('原価明細'!$A$5:$A$1504,$K35)),INDEX('原価明細'!$A$5:$A$1504,$K35),""))</f>
        <v/>
      </c>
      <c r="C35" s="53">
        <f>IF($K35="","",INDEX('原価明細'!$D$5:$D$1504,$K35)&amp;"")</f>
        <v/>
      </c>
      <c r="D35" s="37">
        <f>IF($K35="","",INDEX('原価明細'!$E$5:$E$1504,$K35)&amp;"")</f>
        <v/>
      </c>
      <c r="E35" s="88" t="n"/>
      <c r="F35" s="70">
        <f>IF($K35="","",IF(ISNUMBER(INDEX('原価明細'!$F$5:$F$1504,$K35)),INDEX('原価明細'!$F$5:$F$1504,$K35),""))</f>
        <v/>
      </c>
      <c r="G35" s="53">
        <f>IF($K35="","",INDEX('原価明細'!$G$5:$G$1504,$K35)&amp;"")</f>
        <v/>
      </c>
      <c r="H35" s="31">
        <f>IF($K35="","",IF(ISNUMBER(INDEX('原価明細'!$J$5:$J$1504,$K35)),INDEX('原価明細'!$J$5:$J$1504,$K35),""))</f>
        <v/>
      </c>
      <c r="I35" s="52">
        <f>IF($K35="","",IF(ISNUMBER(INDEX('原価明細'!$K$5:$K$1504,$K35)),INDEX('原価明細'!$K$5:$K$1504,$K35),""))</f>
        <v/>
      </c>
      <c r="J35" s="82" t="n"/>
      <c r="K35" s="91">
        <f>IFERROR(MATCH(11,'原価明細'!$N$5:$N$1504,0),"")</f>
        <v/>
      </c>
    </row>
    <row r="36" ht="15" customHeight="1">
      <c r="A36" s="71">
        <f>IF($K36="","",12)</f>
        <v/>
      </c>
      <c r="B36" s="72">
        <f>IF($K36="","",IF(ISNUMBER(INDEX('原価明細'!$A$5:$A$1504,$K36)),INDEX('原価明細'!$A$5:$A$1504,$K36),""))</f>
        <v/>
      </c>
      <c r="C36" s="53">
        <f>IF($K36="","",INDEX('原価明細'!$D$5:$D$1504,$K36)&amp;"")</f>
        <v/>
      </c>
      <c r="D36" s="37">
        <f>IF($K36="","",INDEX('原価明細'!$E$5:$E$1504,$K36)&amp;"")</f>
        <v/>
      </c>
      <c r="E36" s="88" t="n"/>
      <c r="F36" s="70">
        <f>IF($K36="","",IF(ISNUMBER(INDEX('原価明細'!$F$5:$F$1504,$K36)),INDEX('原価明細'!$F$5:$F$1504,$K36),""))</f>
        <v/>
      </c>
      <c r="G36" s="53">
        <f>IF($K36="","",INDEX('原価明細'!$G$5:$G$1504,$K36)&amp;"")</f>
        <v/>
      </c>
      <c r="H36" s="31">
        <f>IF($K36="","",IF(ISNUMBER(INDEX('原価明細'!$J$5:$J$1504,$K36)),INDEX('原価明細'!$J$5:$J$1504,$K36),""))</f>
        <v/>
      </c>
      <c r="I36" s="52">
        <f>IF($K36="","",IF(ISNUMBER(INDEX('原価明細'!$K$5:$K$1504,$K36)),INDEX('原価明細'!$K$5:$K$1504,$K36),""))</f>
        <v/>
      </c>
      <c r="J36" s="82" t="n"/>
      <c r="K36" s="91">
        <f>IFERROR(MATCH(12,'原価明細'!$N$5:$N$1504,0),"")</f>
        <v/>
      </c>
    </row>
    <row r="37" ht="15" customHeight="1">
      <c r="A37" s="71">
        <f>IF($K37="","",13)</f>
        <v/>
      </c>
      <c r="B37" s="72">
        <f>IF($K37="","",IF(ISNUMBER(INDEX('原価明細'!$A$5:$A$1504,$K37)),INDEX('原価明細'!$A$5:$A$1504,$K37),""))</f>
        <v/>
      </c>
      <c r="C37" s="53">
        <f>IF($K37="","",INDEX('原価明細'!$D$5:$D$1504,$K37)&amp;"")</f>
        <v/>
      </c>
      <c r="D37" s="37">
        <f>IF($K37="","",INDEX('原価明細'!$E$5:$E$1504,$K37)&amp;"")</f>
        <v/>
      </c>
      <c r="E37" s="88" t="n"/>
      <c r="F37" s="70">
        <f>IF($K37="","",IF(ISNUMBER(INDEX('原価明細'!$F$5:$F$1504,$K37)),INDEX('原価明細'!$F$5:$F$1504,$K37),""))</f>
        <v/>
      </c>
      <c r="G37" s="53">
        <f>IF($K37="","",INDEX('原価明細'!$G$5:$G$1504,$K37)&amp;"")</f>
        <v/>
      </c>
      <c r="H37" s="31">
        <f>IF($K37="","",IF(ISNUMBER(INDEX('原価明細'!$J$5:$J$1504,$K37)),INDEX('原価明細'!$J$5:$J$1504,$K37),""))</f>
        <v/>
      </c>
      <c r="I37" s="52">
        <f>IF($K37="","",IF(ISNUMBER(INDEX('原価明細'!$K$5:$K$1504,$K37)),INDEX('原価明細'!$K$5:$K$1504,$K37),""))</f>
        <v/>
      </c>
      <c r="J37" s="82" t="n"/>
      <c r="K37" s="91">
        <f>IFERROR(MATCH(13,'原価明細'!$N$5:$N$1504,0),"")</f>
        <v/>
      </c>
    </row>
    <row r="38" ht="15" customHeight="1">
      <c r="A38" s="71">
        <f>IF($K38="","",14)</f>
        <v/>
      </c>
      <c r="B38" s="72">
        <f>IF($K38="","",IF(ISNUMBER(INDEX('原価明細'!$A$5:$A$1504,$K38)),INDEX('原価明細'!$A$5:$A$1504,$K38),""))</f>
        <v/>
      </c>
      <c r="C38" s="53">
        <f>IF($K38="","",INDEX('原価明細'!$D$5:$D$1504,$K38)&amp;"")</f>
        <v/>
      </c>
      <c r="D38" s="37">
        <f>IF($K38="","",INDEX('原価明細'!$E$5:$E$1504,$K38)&amp;"")</f>
        <v/>
      </c>
      <c r="E38" s="88" t="n"/>
      <c r="F38" s="70">
        <f>IF($K38="","",IF(ISNUMBER(INDEX('原価明細'!$F$5:$F$1504,$K38)),INDEX('原価明細'!$F$5:$F$1504,$K38),""))</f>
        <v/>
      </c>
      <c r="G38" s="53">
        <f>IF($K38="","",INDEX('原価明細'!$G$5:$G$1504,$K38)&amp;"")</f>
        <v/>
      </c>
      <c r="H38" s="31">
        <f>IF($K38="","",IF(ISNUMBER(INDEX('原価明細'!$J$5:$J$1504,$K38)),INDEX('原価明細'!$J$5:$J$1504,$K38),""))</f>
        <v/>
      </c>
      <c r="I38" s="52">
        <f>IF($K38="","",IF(ISNUMBER(INDEX('原価明細'!$K$5:$K$1504,$K38)),INDEX('原価明細'!$K$5:$K$1504,$K38),""))</f>
        <v/>
      </c>
      <c r="J38" s="82" t="n"/>
      <c r="K38" s="91">
        <f>IFERROR(MATCH(14,'原価明細'!$N$5:$N$1504,0),"")</f>
        <v/>
      </c>
    </row>
    <row r="39" ht="15" customHeight="1">
      <c r="A39" s="71">
        <f>IF($K39="","",15)</f>
        <v/>
      </c>
      <c r="B39" s="72">
        <f>IF($K39="","",IF(ISNUMBER(INDEX('原価明細'!$A$5:$A$1504,$K39)),INDEX('原価明細'!$A$5:$A$1504,$K39),""))</f>
        <v/>
      </c>
      <c r="C39" s="53">
        <f>IF($K39="","",INDEX('原価明細'!$D$5:$D$1504,$K39)&amp;"")</f>
        <v/>
      </c>
      <c r="D39" s="37">
        <f>IF($K39="","",INDEX('原価明細'!$E$5:$E$1504,$K39)&amp;"")</f>
        <v/>
      </c>
      <c r="E39" s="88" t="n"/>
      <c r="F39" s="70">
        <f>IF($K39="","",IF(ISNUMBER(INDEX('原価明細'!$F$5:$F$1504,$K39)),INDEX('原価明細'!$F$5:$F$1504,$K39),""))</f>
        <v/>
      </c>
      <c r="G39" s="53">
        <f>IF($K39="","",INDEX('原価明細'!$G$5:$G$1504,$K39)&amp;"")</f>
        <v/>
      </c>
      <c r="H39" s="31">
        <f>IF($K39="","",IF(ISNUMBER(INDEX('原価明細'!$J$5:$J$1504,$K39)),INDEX('原価明細'!$J$5:$J$1504,$K39),""))</f>
        <v/>
      </c>
      <c r="I39" s="52">
        <f>IF($K39="","",IF(ISNUMBER(INDEX('原価明細'!$K$5:$K$1504,$K39)),INDEX('原価明細'!$K$5:$K$1504,$K39),""))</f>
        <v/>
      </c>
      <c r="J39" s="82" t="n"/>
      <c r="K39" s="91">
        <f>IFERROR(MATCH(15,'原価明細'!$N$5:$N$1504,0),"")</f>
        <v/>
      </c>
    </row>
    <row r="40" ht="15" customHeight="1">
      <c r="A40" s="71">
        <f>IF($K40="","",16)</f>
        <v/>
      </c>
      <c r="B40" s="72">
        <f>IF($K40="","",IF(ISNUMBER(INDEX('原価明細'!$A$5:$A$1504,$K40)),INDEX('原価明細'!$A$5:$A$1504,$K40),""))</f>
        <v/>
      </c>
      <c r="C40" s="53">
        <f>IF($K40="","",INDEX('原価明細'!$D$5:$D$1504,$K40)&amp;"")</f>
        <v/>
      </c>
      <c r="D40" s="37">
        <f>IF($K40="","",INDEX('原価明細'!$E$5:$E$1504,$K40)&amp;"")</f>
        <v/>
      </c>
      <c r="E40" s="88" t="n"/>
      <c r="F40" s="70">
        <f>IF($K40="","",IF(ISNUMBER(INDEX('原価明細'!$F$5:$F$1504,$K40)),INDEX('原価明細'!$F$5:$F$1504,$K40),""))</f>
        <v/>
      </c>
      <c r="G40" s="53">
        <f>IF($K40="","",INDEX('原価明細'!$G$5:$G$1504,$K40)&amp;"")</f>
        <v/>
      </c>
      <c r="H40" s="31">
        <f>IF($K40="","",IF(ISNUMBER(INDEX('原価明細'!$J$5:$J$1504,$K40)),INDEX('原価明細'!$J$5:$J$1504,$K40),""))</f>
        <v/>
      </c>
      <c r="I40" s="52">
        <f>IF($K40="","",IF(ISNUMBER(INDEX('原価明細'!$K$5:$K$1504,$K40)),INDEX('原価明細'!$K$5:$K$1504,$K40),""))</f>
        <v/>
      </c>
      <c r="J40" s="82" t="n"/>
      <c r="K40" s="91">
        <f>IFERROR(MATCH(16,'原価明細'!$N$5:$N$1504,0),"")</f>
        <v/>
      </c>
    </row>
    <row r="41" ht="15" customHeight="1">
      <c r="A41" s="71">
        <f>IF($K41="","",17)</f>
        <v/>
      </c>
      <c r="B41" s="72">
        <f>IF($K41="","",IF(ISNUMBER(INDEX('原価明細'!$A$5:$A$1504,$K41)),INDEX('原価明細'!$A$5:$A$1504,$K41),""))</f>
        <v/>
      </c>
      <c r="C41" s="53">
        <f>IF($K41="","",INDEX('原価明細'!$D$5:$D$1504,$K41)&amp;"")</f>
        <v/>
      </c>
      <c r="D41" s="37">
        <f>IF($K41="","",INDEX('原価明細'!$E$5:$E$1504,$K41)&amp;"")</f>
        <v/>
      </c>
      <c r="E41" s="88" t="n"/>
      <c r="F41" s="70">
        <f>IF($K41="","",IF(ISNUMBER(INDEX('原価明細'!$F$5:$F$1504,$K41)),INDEX('原価明細'!$F$5:$F$1504,$K41),""))</f>
        <v/>
      </c>
      <c r="G41" s="53">
        <f>IF($K41="","",INDEX('原価明細'!$G$5:$G$1504,$K41)&amp;"")</f>
        <v/>
      </c>
      <c r="H41" s="31">
        <f>IF($K41="","",IF(ISNUMBER(INDEX('原価明細'!$J$5:$J$1504,$K41)),INDEX('原価明細'!$J$5:$J$1504,$K41),""))</f>
        <v/>
      </c>
      <c r="I41" s="52">
        <f>IF($K41="","",IF(ISNUMBER(INDEX('原価明細'!$K$5:$K$1504,$K41)),INDEX('原価明細'!$K$5:$K$1504,$K41),""))</f>
        <v/>
      </c>
      <c r="J41" s="82" t="n"/>
      <c r="K41" s="91">
        <f>IFERROR(MATCH(17,'原価明細'!$N$5:$N$1504,0),"")</f>
        <v/>
      </c>
    </row>
    <row r="42" ht="15" customHeight="1">
      <c r="A42" s="71">
        <f>IF($K42="","",18)</f>
        <v/>
      </c>
      <c r="B42" s="72">
        <f>IF($K42="","",IF(ISNUMBER(INDEX('原価明細'!$A$5:$A$1504,$K42)),INDEX('原価明細'!$A$5:$A$1504,$K42),""))</f>
        <v/>
      </c>
      <c r="C42" s="53">
        <f>IF($K42="","",INDEX('原価明細'!$D$5:$D$1504,$K42)&amp;"")</f>
        <v/>
      </c>
      <c r="D42" s="37">
        <f>IF($K42="","",INDEX('原価明細'!$E$5:$E$1504,$K42)&amp;"")</f>
        <v/>
      </c>
      <c r="E42" s="88" t="n"/>
      <c r="F42" s="70">
        <f>IF($K42="","",IF(ISNUMBER(INDEX('原価明細'!$F$5:$F$1504,$K42)),INDEX('原価明細'!$F$5:$F$1504,$K42),""))</f>
        <v/>
      </c>
      <c r="G42" s="53">
        <f>IF($K42="","",INDEX('原価明細'!$G$5:$G$1504,$K42)&amp;"")</f>
        <v/>
      </c>
      <c r="H42" s="31">
        <f>IF($K42="","",IF(ISNUMBER(INDEX('原価明細'!$J$5:$J$1504,$K42)),INDEX('原価明細'!$J$5:$J$1504,$K42),""))</f>
        <v/>
      </c>
      <c r="I42" s="52">
        <f>IF($K42="","",IF(ISNUMBER(INDEX('原価明細'!$K$5:$K$1504,$K42)),INDEX('原価明細'!$K$5:$K$1504,$K42),""))</f>
        <v/>
      </c>
      <c r="J42" s="82" t="n"/>
      <c r="K42" s="91">
        <f>IFERROR(MATCH(18,'原価明細'!$N$5:$N$1504,0),"")</f>
        <v/>
      </c>
    </row>
    <row r="43" ht="15" customHeight="1">
      <c r="A43" s="71">
        <f>IF($K43="","",19)</f>
        <v/>
      </c>
      <c r="B43" s="72">
        <f>IF($K43="","",IF(ISNUMBER(INDEX('原価明細'!$A$5:$A$1504,$K43)),INDEX('原価明細'!$A$5:$A$1504,$K43),""))</f>
        <v/>
      </c>
      <c r="C43" s="53">
        <f>IF($K43="","",INDEX('原価明細'!$D$5:$D$1504,$K43)&amp;"")</f>
        <v/>
      </c>
      <c r="D43" s="37">
        <f>IF($K43="","",INDEX('原価明細'!$E$5:$E$1504,$K43)&amp;"")</f>
        <v/>
      </c>
      <c r="E43" s="88" t="n"/>
      <c r="F43" s="70">
        <f>IF($K43="","",IF(ISNUMBER(INDEX('原価明細'!$F$5:$F$1504,$K43)),INDEX('原価明細'!$F$5:$F$1504,$K43),""))</f>
        <v/>
      </c>
      <c r="G43" s="53">
        <f>IF($K43="","",INDEX('原価明細'!$G$5:$G$1504,$K43)&amp;"")</f>
        <v/>
      </c>
      <c r="H43" s="31">
        <f>IF($K43="","",IF(ISNUMBER(INDEX('原価明細'!$J$5:$J$1504,$K43)),INDEX('原価明細'!$J$5:$J$1504,$K43),""))</f>
        <v/>
      </c>
      <c r="I43" s="52">
        <f>IF($K43="","",IF(ISNUMBER(INDEX('原価明細'!$K$5:$K$1504,$K43)),INDEX('原価明細'!$K$5:$K$1504,$K43),""))</f>
        <v/>
      </c>
      <c r="J43" s="82" t="n"/>
      <c r="K43" s="91">
        <f>IFERROR(MATCH(19,'原価明細'!$N$5:$N$1504,0),"")</f>
        <v/>
      </c>
    </row>
    <row r="44" ht="15" customHeight="1">
      <c r="A44" s="71">
        <f>IF($K44="","",20)</f>
        <v/>
      </c>
      <c r="B44" s="72">
        <f>IF($K44="","",IF(ISNUMBER(INDEX('原価明細'!$A$5:$A$1504,$K44)),INDEX('原価明細'!$A$5:$A$1504,$K44),""))</f>
        <v/>
      </c>
      <c r="C44" s="53">
        <f>IF($K44="","",INDEX('原価明細'!$D$5:$D$1504,$K44)&amp;"")</f>
        <v/>
      </c>
      <c r="D44" s="37">
        <f>IF($K44="","",INDEX('原価明細'!$E$5:$E$1504,$K44)&amp;"")</f>
        <v/>
      </c>
      <c r="E44" s="88" t="n"/>
      <c r="F44" s="70">
        <f>IF($K44="","",IF(ISNUMBER(INDEX('原価明細'!$F$5:$F$1504,$K44)),INDEX('原価明細'!$F$5:$F$1504,$K44),""))</f>
        <v/>
      </c>
      <c r="G44" s="53">
        <f>IF($K44="","",INDEX('原価明細'!$G$5:$G$1504,$K44)&amp;"")</f>
        <v/>
      </c>
      <c r="H44" s="31">
        <f>IF($K44="","",IF(ISNUMBER(INDEX('原価明細'!$J$5:$J$1504,$K44)),INDEX('原価明細'!$J$5:$J$1504,$K44),""))</f>
        <v/>
      </c>
      <c r="I44" s="52">
        <f>IF($K44="","",IF(ISNUMBER(INDEX('原価明細'!$K$5:$K$1504,$K44)),INDEX('原価明細'!$K$5:$K$1504,$K44),""))</f>
        <v/>
      </c>
      <c r="J44" s="82" t="n"/>
      <c r="K44" s="91">
        <f>IFERROR(MATCH(20,'原価明細'!$N$5:$N$1504,0),"")</f>
        <v/>
      </c>
    </row>
    <row r="45" ht="15" customHeight="1">
      <c r="A45" s="71">
        <f>IF($K45="","",21)</f>
        <v/>
      </c>
      <c r="B45" s="72">
        <f>IF($K45="","",IF(ISNUMBER(INDEX('原価明細'!$A$5:$A$1504,$K45)),INDEX('原価明細'!$A$5:$A$1504,$K45),""))</f>
        <v/>
      </c>
      <c r="C45" s="53">
        <f>IF($K45="","",INDEX('原価明細'!$D$5:$D$1504,$K45)&amp;"")</f>
        <v/>
      </c>
      <c r="D45" s="37">
        <f>IF($K45="","",INDEX('原価明細'!$E$5:$E$1504,$K45)&amp;"")</f>
        <v/>
      </c>
      <c r="E45" s="88" t="n"/>
      <c r="F45" s="70">
        <f>IF($K45="","",IF(ISNUMBER(INDEX('原価明細'!$F$5:$F$1504,$K45)),INDEX('原価明細'!$F$5:$F$1504,$K45),""))</f>
        <v/>
      </c>
      <c r="G45" s="53">
        <f>IF($K45="","",INDEX('原価明細'!$G$5:$G$1504,$K45)&amp;"")</f>
        <v/>
      </c>
      <c r="H45" s="31">
        <f>IF($K45="","",IF(ISNUMBER(INDEX('原価明細'!$J$5:$J$1504,$K45)),INDEX('原価明細'!$J$5:$J$1504,$K45),""))</f>
        <v/>
      </c>
      <c r="I45" s="52">
        <f>IF($K45="","",IF(ISNUMBER(INDEX('原価明細'!$K$5:$K$1504,$K45)),INDEX('原価明細'!$K$5:$K$1504,$K45),""))</f>
        <v/>
      </c>
      <c r="J45" s="82" t="n"/>
      <c r="K45" s="91">
        <f>IFERROR(MATCH(21,'原価明細'!$N$5:$N$1504,0),"")</f>
        <v/>
      </c>
    </row>
    <row r="46" ht="15" customHeight="1">
      <c r="A46" s="71">
        <f>IF($K46="","",22)</f>
        <v/>
      </c>
      <c r="B46" s="72">
        <f>IF($K46="","",IF(ISNUMBER(INDEX('原価明細'!$A$5:$A$1504,$K46)),INDEX('原価明細'!$A$5:$A$1504,$K46),""))</f>
        <v/>
      </c>
      <c r="C46" s="53">
        <f>IF($K46="","",INDEX('原価明細'!$D$5:$D$1504,$K46)&amp;"")</f>
        <v/>
      </c>
      <c r="D46" s="37">
        <f>IF($K46="","",INDEX('原価明細'!$E$5:$E$1504,$K46)&amp;"")</f>
        <v/>
      </c>
      <c r="E46" s="88" t="n"/>
      <c r="F46" s="70">
        <f>IF($K46="","",IF(ISNUMBER(INDEX('原価明細'!$F$5:$F$1504,$K46)),INDEX('原価明細'!$F$5:$F$1504,$K46),""))</f>
        <v/>
      </c>
      <c r="G46" s="53">
        <f>IF($K46="","",INDEX('原価明細'!$G$5:$G$1504,$K46)&amp;"")</f>
        <v/>
      </c>
      <c r="H46" s="31">
        <f>IF($K46="","",IF(ISNUMBER(INDEX('原価明細'!$J$5:$J$1504,$K46)),INDEX('原価明細'!$J$5:$J$1504,$K46),""))</f>
        <v/>
      </c>
      <c r="I46" s="52">
        <f>IF($K46="","",IF(ISNUMBER(INDEX('原価明細'!$K$5:$K$1504,$K46)),INDEX('原価明細'!$K$5:$K$1504,$K46),""))</f>
        <v/>
      </c>
      <c r="J46" s="82" t="n"/>
      <c r="K46" s="91">
        <f>IFERROR(MATCH(22,'原価明細'!$N$5:$N$1504,0),"")</f>
        <v/>
      </c>
    </row>
    <row r="47" ht="15" customHeight="1">
      <c r="A47" s="71">
        <f>IF($K47="","",23)</f>
        <v/>
      </c>
      <c r="B47" s="72">
        <f>IF($K47="","",IF(ISNUMBER(INDEX('原価明細'!$A$5:$A$1504,$K47)),INDEX('原価明細'!$A$5:$A$1504,$K47),""))</f>
        <v/>
      </c>
      <c r="C47" s="53">
        <f>IF($K47="","",INDEX('原価明細'!$D$5:$D$1504,$K47)&amp;"")</f>
        <v/>
      </c>
      <c r="D47" s="37">
        <f>IF($K47="","",INDEX('原価明細'!$E$5:$E$1504,$K47)&amp;"")</f>
        <v/>
      </c>
      <c r="E47" s="88" t="n"/>
      <c r="F47" s="70">
        <f>IF($K47="","",IF(ISNUMBER(INDEX('原価明細'!$F$5:$F$1504,$K47)),INDEX('原価明細'!$F$5:$F$1504,$K47),""))</f>
        <v/>
      </c>
      <c r="G47" s="53">
        <f>IF($K47="","",INDEX('原価明細'!$G$5:$G$1504,$K47)&amp;"")</f>
        <v/>
      </c>
      <c r="H47" s="31">
        <f>IF($K47="","",IF(ISNUMBER(INDEX('原価明細'!$J$5:$J$1504,$K47)),INDEX('原価明細'!$J$5:$J$1504,$K47),""))</f>
        <v/>
      </c>
      <c r="I47" s="52">
        <f>IF($K47="","",IF(ISNUMBER(INDEX('原価明細'!$K$5:$K$1504,$K47)),INDEX('原価明細'!$K$5:$K$1504,$K47),""))</f>
        <v/>
      </c>
      <c r="J47" s="82" t="n"/>
      <c r="K47" s="91">
        <f>IFERROR(MATCH(23,'原価明細'!$N$5:$N$1504,0),"")</f>
        <v/>
      </c>
    </row>
    <row r="48" ht="15" customHeight="1">
      <c r="A48" s="71">
        <f>IF($K48="","",24)</f>
        <v/>
      </c>
      <c r="B48" s="72">
        <f>IF($K48="","",IF(ISNUMBER(INDEX('原価明細'!$A$5:$A$1504,$K48)),INDEX('原価明細'!$A$5:$A$1504,$K48),""))</f>
        <v/>
      </c>
      <c r="C48" s="53">
        <f>IF($K48="","",INDEX('原価明細'!$D$5:$D$1504,$K48)&amp;"")</f>
        <v/>
      </c>
      <c r="D48" s="37">
        <f>IF($K48="","",INDEX('原価明細'!$E$5:$E$1504,$K48)&amp;"")</f>
        <v/>
      </c>
      <c r="E48" s="88" t="n"/>
      <c r="F48" s="70">
        <f>IF($K48="","",IF(ISNUMBER(INDEX('原価明細'!$F$5:$F$1504,$K48)),INDEX('原価明細'!$F$5:$F$1504,$K48),""))</f>
        <v/>
      </c>
      <c r="G48" s="53">
        <f>IF($K48="","",INDEX('原価明細'!$G$5:$G$1504,$K48)&amp;"")</f>
        <v/>
      </c>
      <c r="H48" s="31">
        <f>IF($K48="","",IF(ISNUMBER(INDEX('原価明細'!$J$5:$J$1504,$K48)),INDEX('原価明細'!$J$5:$J$1504,$K48),""))</f>
        <v/>
      </c>
      <c r="I48" s="52">
        <f>IF($K48="","",IF(ISNUMBER(INDEX('原価明細'!$K$5:$K$1504,$K48)),INDEX('原価明細'!$K$5:$K$1504,$K48),""))</f>
        <v/>
      </c>
      <c r="J48" s="82" t="n"/>
      <c r="K48" s="91">
        <f>IFERROR(MATCH(24,'原価明細'!$N$5:$N$1504,0),"")</f>
        <v/>
      </c>
    </row>
    <row r="49" ht="15" customHeight="1">
      <c r="A49" s="71">
        <f>IF($K49="","",25)</f>
        <v/>
      </c>
      <c r="B49" s="72">
        <f>IF($K49="","",IF(ISNUMBER(INDEX('原価明細'!$A$5:$A$1504,$K49)),INDEX('原価明細'!$A$5:$A$1504,$K49),""))</f>
        <v/>
      </c>
      <c r="C49" s="53">
        <f>IF($K49="","",INDEX('原価明細'!$D$5:$D$1504,$K49)&amp;"")</f>
        <v/>
      </c>
      <c r="D49" s="37">
        <f>IF($K49="","",INDEX('原価明細'!$E$5:$E$1504,$K49)&amp;"")</f>
        <v/>
      </c>
      <c r="E49" s="88" t="n"/>
      <c r="F49" s="70">
        <f>IF($K49="","",IF(ISNUMBER(INDEX('原価明細'!$F$5:$F$1504,$K49)),INDEX('原価明細'!$F$5:$F$1504,$K49),""))</f>
        <v/>
      </c>
      <c r="G49" s="53">
        <f>IF($K49="","",INDEX('原価明細'!$G$5:$G$1504,$K49)&amp;"")</f>
        <v/>
      </c>
      <c r="H49" s="31">
        <f>IF($K49="","",IF(ISNUMBER(INDEX('原価明細'!$J$5:$J$1504,$K49)),INDEX('原価明細'!$J$5:$J$1504,$K49),""))</f>
        <v/>
      </c>
      <c r="I49" s="52">
        <f>IF($K49="","",IF(ISNUMBER(INDEX('原価明細'!$K$5:$K$1504,$K49)),INDEX('原価明細'!$K$5:$K$1504,$K49),""))</f>
        <v/>
      </c>
      <c r="J49" s="82" t="n"/>
      <c r="K49" s="91">
        <f>IFERROR(MATCH(25,'原価明細'!$N$5:$N$1504,0),"")</f>
        <v/>
      </c>
    </row>
    <row r="50" ht="15" customHeight="1">
      <c r="A50" s="71">
        <f>IF($K50="","",26)</f>
        <v/>
      </c>
      <c r="B50" s="72">
        <f>IF($K50="","",IF(ISNUMBER(INDEX('原価明細'!$A$5:$A$1504,$K50)),INDEX('原価明細'!$A$5:$A$1504,$K50),""))</f>
        <v/>
      </c>
      <c r="C50" s="53">
        <f>IF($K50="","",INDEX('原価明細'!$D$5:$D$1504,$K50)&amp;"")</f>
        <v/>
      </c>
      <c r="D50" s="37">
        <f>IF($K50="","",INDEX('原価明細'!$E$5:$E$1504,$K50)&amp;"")</f>
        <v/>
      </c>
      <c r="E50" s="88" t="n"/>
      <c r="F50" s="70">
        <f>IF($K50="","",IF(ISNUMBER(INDEX('原価明細'!$F$5:$F$1504,$K50)),INDEX('原価明細'!$F$5:$F$1504,$K50),""))</f>
        <v/>
      </c>
      <c r="G50" s="53">
        <f>IF($K50="","",INDEX('原価明細'!$G$5:$G$1504,$K50)&amp;"")</f>
        <v/>
      </c>
      <c r="H50" s="31">
        <f>IF($K50="","",IF(ISNUMBER(INDEX('原価明細'!$J$5:$J$1504,$K50)),INDEX('原価明細'!$J$5:$J$1504,$K50),""))</f>
        <v/>
      </c>
      <c r="I50" s="52">
        <f>IF($K50="","",IF(ISNUMBER(INDEX('原価明細'!$K$5:$K$1504,$K50)),INDEX('原価明細'!$K$5:$K$1504,$K50),""))</f>
        <v/>
      </c>
      <c r="J50" s="82" t="n"/>
      <c r="K50" s="91">
        <f>IFERROR(MATCH(26,'原価明細'!$N$5:$N$1504,0),"")</f>
        <v/>
      </c>
    </row>
    <row r="51" ht="15" customHeight="1">
      <c r="A51" s="71">
        <f>IF($K51="","",27)</f>
        <v/>
      </c>
      <c r="B51" s="72">
        <f>IF($K51="","",IF(ISNUMBER(INDEX('原価明細'!$A$5:$A$1504,$K51)),INDEX('原価明細'!$A$5:$A$1504,$K51),""))</f>
        <v/>
      </c>
      <c r="C51" s="53">
        <f>IF($K51="","",INDEX('原価明細'!$D$5:$D$1504,$K51)&amp;"")</f>
        <v/>
      </c>
      <c r="D51" s="37">
        <f>IF($K51="","",INDEX('原価明細'!$E$5:$E$1504,$K51)&amp;"")</f>
        <v/>
      </c>
      <c r="E51" s="88" t="n"/>
      <c r="F51" s="70">
        <f>IF($K51="","",IF(ISNUMBER(INDEX('原価明細'!$F$5:$F$1504,$K51)),INDEX('原価明細'!$F$5:$F$1504,$K51),""))</f>
        <v/>
      </c>
      <c r="G51" s="53">
        <f>IF($K51="","",INDEX('原価明細'!$G$5:$G$1504,$K51)&amp;"")</f>
        <v/>
      </c>
      <c r="H51" s="31">
        <f>IF($K51="","",IF(ISNUMBER(INDEX('原価明細'!$J$5:$J$1504,$K51)),INDEX('原価明細'!$J$5:$J$1504,$K51),""))</f>
        <v/>
      </c>
      <c r="I51" s="52">
        <f>IF($K51="","",IF(ISNUMBER(INDEX('原価明細'!$K$5:$K$1504,$K51)),INDEX('原価明細'!$K$5:$K$1504,$K51),""))</f>
        <v/>
      </c>
      <c r="J51" s="82" t="n"/>
      <c r="K51" s="91">
        <f>IFERROR(MATCH(27,'原価明細'!$N$5:$N$1504,0),"")</f>
        <v/>
      </c>
    </row>
    <row r="52" ht="15" customHeight="1">
      <c r="A52" s="71">
        <f>IF($K52="","",28)</f>
        <v/>
      </c>
      <c r="B52" s="72">
        <f>IF($K52="","",IF(ISNUMBER(INDEX('原価明細'!$A$5:$A$1504,$K52)),INDEX('原価明細'!$A$5:$A$1504,$K52),""))</f>
        <v/>
      </c>
      <c r="C52" s="53">
        <f>IF($K52="","",INDEX('原価明細'!$D$5:$D$1504,$K52)&amp;"")</f>
        <v/>
      </c>
      <c r="D52" s="37">
        <f>IF($K52="","",INDEX('原価明細'!$E$5:$E$1504,$K52)&amp;"")</f>
        <v/>
      </c>
      <c r="E52" s="88" t="n"/>
      <c r="F52" s="70">
        <f>IF($K52="","",IF(ISNUMBER(INDEX('原価明細'!$F$5:$F$1504,$K52)),INDEX('原価明細'!$F$5:$F$1504,$K52),""))</f>
        <v/>
      </c>
      <c r="G52" s="53">
        <f>IF($K52="","",INDEX('原価明細'!$G$5:$G$1504,$K52)&amp;"")</f>
        <v/>
      </c>
      <c r="H52" s="31">
        <f>IF($K52="","",IF(ISNUMBER(INDEX('原価明細'!$J$5:$J$1504,$K52)),INDEX('原価明細'!$J$5:$J$1504,$K52),""))</f>
        <v/>
      </c>
      <c r="I52" s="52">
        <f>IF($K52="","",IF(ISNUMBER(INDEX('原価明細'!$K$5:$K$1504,$K52)),INDEX('原価明細'!$K$5:$K$1504,$K52),""))</f>
        <v/>
      </c>
      <c r="J52" s="82" t="n"/>
      <c r="K52" s="91">
        <f>IFERROR(MATCH(28,'原価明細'!$N$5:$N$1504,0),"")</f>
        <v/>
      </c>
    </row>
    <row r="53" ht="15" customHeight="1">
      <c r="A53" s="71">
        <f>IF($K53="","",29)</f>
        <v/>
      </c>
      <c r="B53" s="72">
        <f>IF($K53="","",IF(ISNUMBER(INDEX('原価明細'!$A$5:$A$1504,$K53)),INDEX('原価明細'!$A$5:$A$1504,$K53),""))</f>
        <v/>
      </c>
      <c r="C53" s="53">
        <f>IF($K53="","",INDEX('原価明細'!$D$5:$D$1504,$K53)&amp;"")</f>
        <v/>
      </c>
      <c r="D53" s="37">
        <f>IF($K53="","",INDEX('原価明細'!$E$5:$E$1504,$K53)&amp;"")</f>
        <v/>
      </c>
      <c r="E53" s="88" t="n"/>
      <c r="F53" s="70">
        <f>IF($K53="","",IF(ISNUMBER(INDEX('原価明細'!$F$5:$F$1504,$K53)),INDEX('原価明細'!$F$5:$F$1504,$K53),""))</f>
        <v/>
      </c>
      <c r="G53" s="53">
        <f>IF($K53="","",INDEX('原価明細'!$G$5:$G$1504,$K53)&amp;"")</f>
        <v/>
      </c>
      <c r="H53" s="31">
        <f>IF($K53="","",IF(ISNUMBER(INDEX('原価明細'!$J$5:$J$1504,$K53)),INDEX('原価明細'!$J$5:$J$1504,$K53),""))</f>
        <v/>
      </c>
      <c r="I53" s="52">
        <f>IF($K53="","",IF(ISNUMBER(INDEX('原価明細'!$K$5:$K$1504,$K53)),INDEX('原価明細'!$K$5:$K$1504,$K53),""))</f>
        <v/>
      </c>
      <c r="J53" s="82" t="n"/>
      <c r="K53" s="91">
        <f>IFERROR(MATCH(29,'原価明細'!$N$5:$N$1504,0),"")</f>
        <v/>
      </c>
    </row>
    <row r="54" ht="15" customHeight="1">
      <c r="A54" s="71">
        <f>IF($K54="","",30)</f>
        <v/>
      </c>
      <c r="B54" s="72">
        <f>IF($K54="","",IF(ISNUMBER(INDEX('原価明細'!$A$5:$A$1504,$K54)),INDEX('原価明細'!$A$5:$A$1504,$K54),""))</f>
        <v/>
      </c>
      <c r="C54" s="53">
        <f>IF($K54="","",INDEX('原価明細'!$D$5:$D$1504,$K54)&amp;"")</f>
        <v/>
      </c>
      <c r="D54" s="37">
        <f>IF($K54="","",INDEX('原価明細'!$E$5:$E$1504,$K54)&amp;"")</f>
        <v/>
      </c>
      <c r="E54" s="88" t="n"/>
      <c r="F54" s="70">
        <f>IF($K54="","",IF(ISNUMBER(INDEX('原価明細'!$F$5:$F$1504,$K54)),INDEX('原価明細'!$F$5:$F$1504,$K54),""))</f>
        <v/>
      </c>
      <c r="G54" s="53">
        <f>IF($K54="","",INDEX('原価明細'!$G$5:$G$1504,$K54)&amp;"")</f>
        <v/>
      </c>
      <c r="H54" s="31">
        <f>IF($K54="","",IF(ISNUMBER(INDEX('原価明細'!$J$5:$J$1504,$K54)),INDEX('原価明細'!$J$5:$J$1504,$K54),""))</f>
        <v/>
      </c>
      <c r="I54" s="52">
        <f>IF($K54="","",IF(ISNUMBER(INDEX('原価明細'!$K$5:$K$1504,$K54)),INDEX('原価明細'!$K$5:$K$1504,$K54),""))</f>
        <v/>
      </c>
      <c r="J54" s="82" t="n"/>
      <c r="K54" s="91">
        <f>IFERROR(MATCH(30,'原価明細'!$N$5:$N$1504,0),"")</f>
        <v/>
      </c>
    </row>
    <row r="55" ht="15" customHeight="1">
      <c r="A55" s="71">
        <f>IF($K55="","",31)</f>
        <v/>
      </c>
      <c r="B55" s="72">
        <f>IF($K55="","",IF(ISNUMBER(INDEX('原価明細'!$A$5:$A$1504,$K55)),INDEX('原価明細'!$A$5:$A$1504,$K55),""))</f>
        <v/>
      </c>
      <c r="C55" s="53">
        <f>IF($K55="","",INDEX('原価明細'!$D$5:$D$1504,$K55)&amp;"")</f>
        <v/>
      </c>
      <c r="D55" s="37">
        <f>IF($K55="","",INDEX('原価明細'!$E$5:$E$1504,$K55)&amp;"")</f>
        <v/>
      </c>
      <c r="E55" s="88" t="n"/>
      <c r="F55" s="70">
        <f>IF($K55="","",IF(ISNUMBER(INDEX('原価明細'!$F$5:$F$1504,$K55)),INDEX('原価明細'!$F$5:$F$1504,$K55),""))</f>
        <v/>
      </c>
      <c r="G55" s="53">
        <f>IF($K55="","",INDEX('原価明細'!$G$5:$G$1504,$K55)&amp;"")</f>
        <v/>
      </c>
      <c r="H55" s="31">
        <f>IF($K55="","",IF(ISNUMBER(INDEX('原価明細'!$J$5:$J$1504,$K55)),INDEX('原価明細'!$J$5:$J$1504,$K55),""))</f>
        <v/>
      </c>
      <c r="I55" s="52">
        <f>IF($K55="","",IF(ISNUMBER(INDEX('原価明細'!$K$5:$K$1504,$K55)),INDEX('原価明細'!$K$5:$K$1504,$K55),""))</f>
        <v/>
      </c>
      <c r="J55" s="82" t="n"/>
      <c r="K55" s="91">
        <f>IFERROR(MATCH(31,'原価明細'!$N$5:$N$1504,0),"")</f>
        <v/>
      </c>
    </row>
    <row r="56" ht="15" customHeight="1">
      <c r="A56" s="71">
        <f>IF($K56="","",32)</f>
        <v/>
      </c>
      <c r="B56" s="72">
        <f>IF($K56="","",IF(ISNUMBER(INDEX('原価明細'!$A$5:$A$1504,$K56)),INDEX('原価明細'!$A$5:$A$1504,$K56),""))</f>
        <v/>
      </c>
      <c r="C56" s="53">
        <f>IF($K56="","",INDEX('原価明細'!$D$5:$D$1504,$K56)&amp;"")</f>
        <v/>
      </c>
      <c r="D56" s="37">
        <f>IF($K56="","",INDEX('原価明細'!$E$5:$E$1504,$K56)&amp;"")</f>
        <v/>
      </c>
      <c r="E56" s="88" t="n"/>
      <c r="F56" s="70">
        <f>IF($K56="","",IF(ISNUMBER(INDEX('原価明細'!$F$5:$F$1504,$K56)),INDEX('原価明細'!$F$5:$F$1504,$K56),""))</f>
        <v/>
      </c>
      <c r="G56" s="53">
        <f>IF($K56="","",INDEX('原価明細'!$G$5:$G$1504,$K56)&amp;"")</f>
        <v/>
      </c>
      <c r="H56" s="31">
        <f>IF($K56="","",IF(ISNUMBER(INDEX('原価明細'!$J$5:$J$1504,$K56)),INDEX('原価明細'!$J$5:$J$1504,$K56),""))</f>
        <v/>
      </c>
      <c r="I56" s="52">
        <f>IF($K56="","",IF(ISNUMBER(INDEX('原価明細'!$K$5:$K$1504,$K56)),INDEX('原価明細'!$K$5:$K$1504,$K56),""))</f>
        <v/>
      </c>
      <c r="J56" s="82" t="n"/>
      <c r="K56" s="91">
        <f>IFERROR(MATCH(32,'原価明細'!$N$5:$N$1504,0),"")</f>
        <v/>
      </c>
    </row>
    <row r="57" ht="15" customHeight="1">
      <c r="A57" s="71">
        <f>IF($K57="","",33)</f>
        <v/>
      </c>
      <c r="B57" s="72">
        <f>IF($K57="","",IF(ISNUMBER(INDEX('原価明細'!$A$5:$A$1504,$K57)),INDEX('原価明細'!$A$5:$A$1504,$K57),""))</f>
        <v/>
      </c>
      <c r="C57" s="53">
        <f>IF($K57="","",INDEX('原価明細'!$D$5:$D$1504,$K57)&amp;"")</f>
        <v/>
      </c>
      <c r="D57" s="37">
        <f>IF($K57="","",INDEX('原価明細'!$E$5:$E$1504,$K57)&amp;"")</f>
        <v/>
      </c>
      <c r="E57" s="88" t="n"/>
      <c r="F57" s="70">
        <f>IF($K57="","",IF(ISNUMBER(INDEX('原価明細'!$F$5:$F$1504,$K57)),INDEX('原価明細'!$F$5:$F$1504,$K57),""))</f>
        <v/>
      </c>
      <c r="G57" s="53">
        <f>IF($K57="","",INDEX('原価明細'!$G$5:$G$1504,$K57)&amp;"")</f>
        <v/>
      </c>
      <c r="H57" s="31">
        <f>IF($K57="","",IF(ISNUMBER(INDEX('原価明細'!$J$5:$J$1504,$K57)),INDEX('原価明細'!$J$5:$J$1504,$K57),""))</f>
        <v/>
      </c>
      <c r="I57" s="52">
        <f>IF($K57="","",IF(ISNUMBER(INDEX('原価明細'!$K$5:$K$1504,$K57)),INDEX('原価明細'!$K$5:$K$1504,$K57),""))</f>
        <v/>
      </c>
      <c r="J57" s="82" t="n"/>
      <c r="K57" s="91">
        <f>IFERROR(MATCH(33,'原価明細'!$N$5:$N$1504,0),"")</f>
        <v/>
      </c>
    </row>
    <row r="58" ht="15" customHeight="1">
      <c r="A58" s="71">
        <f>IF($K58="","",34)</f>
        <v/>
      </c>
      <c r="B58" s="72">
        <f>IF($K58="","",IF(ISNUMBER(INDEX('原価明細'!$A$5:$A$1504,$K58)),INDEX('原価明細'!$A$5:$A$1504,$K58),""))</f>
        <v/>
      </c>
      <c r="C58" s="53">
        <f>IF($K58="","",INDEX('原価明細'!$D$5:$D$1504,$K58)&amp;"")</f>
        <v/>
      </c>
      <c r="D58" s="37">
        <f>IF($K58="","",INDEX('原価明細'!$E$5:$E$1504,$K58)&amp;"")</f>
        <v/>
      </c>
      <c r="E58" s="88" t="n"/>
      <c r="F58" s="70">
        <f>IF($K58="","",IF(ISNUMBER(INDEX('原価明細'!$F$5:$F$1504,$K58)),INDEX('原価明細'!$F$5:$F$1504,$K58),""))</f>
        <v/>
      </c>
      <c r="G58" s="53">
        <f>IF($K58="","",INDEX('原価明細'!$G$5:$G$1504,$K58)&amp;"")</f>
        <v/>
      </c>
      <c r="H58" s="31">
        <f>IF($K58="","",IF(ISNUMBER(INDEX('原価明細'!$J$5:$J$1504,$K58)),INDEX('原価明細'!$J$5:$J$1504,$K58),""))</f>
        <v/>
      </c>
      <c r="I58" s="52">
        <f>IF($K58="","",IF(ISNUMBER(INDEX('原価明細'!$K$5:$K$1504,$K58)),INDEX('原価明細'!$K$5:$K$1504,$K58),""))</f>
        <v/>
      </c>
      <c r="J58" s="82" t="n"/>
      <c r="K58" s="91">
        <f>IFERROR(MATCH(34,'原価明細'!$N$5:$N$1504,0),"")</f>
        <v/>
      </c>
    </row>
    <row r="59" ht="15" customHeight="1">
      <c r="A59" s="71">
        <f>IF($K59="","",35)</f>
        <v/>
      </c>
      <c r="B59" s="72">
        <f>IF($K59="","",IF(ISNUMBER(INDEX('原価明細'!$A$5:$A$1504,$K59)),INDEX('原価明細'!$A$5:$A$1504,$K59),""))</f>
        <v/>
      </c>
      <c r="C59" s="53">
        <f>IF($K59="","",INDEX('原価明細'!$D$5:$D$1504,$K59)&amp;"")</f>
        <v/>
      </c>
      <c r="D59" s="37">
        <f>IF($K59="","",INDEX('原価明細'!$E$5:$E$1504,$K59)&amp;"")</f>
        <v/>
      </c>
      <c r="E59" s="88" t="n"/>
      <c r="F59" s="70">
        <f>IF($K59="","",IF(ISNUMBER(INDEX('原価明細'!$F$5:$F$1504,$K59)),INDEX('原価明細'!$F$5:$F$1504,$K59),""))</f>
        <v/>
      </c>
      <c r="G59" s="53">
        <f>IF($K59="","",INDEX('原価明細'!$G$5:$G$1504,$K59)&amp;"")</f>
        <v/>
      </c>
      <c r="H59" s="31">
        <f>IF($K59="","",IF(ISNUMBER(INDEX('原価明細'!$J$5:$J$1504,$K59)),INDEX('原価明細'!$J$5:$J$1504,$K59),""))</f>
        <v/>
      </c>
      <c r="I59" s="52">
        <f>IF($K59="","",IF(ISNUMBER(INDEX('原価明細'!$K$5:$K$1504,$K59)),INDEX('原価明細'!$K$5:$K$1504,$K59),""))</f>
        <v/>
      </c>
      <c r="J59" s="82" t="n"/>
      <c r="K59" s="91">
        <f>IFERROR(MATCH(35,'原価明細'!$N$5:$N$1504,0),"")</f>
        <v/>
      </c>
    </row>
    <row r="60" ht="15" customHeight="1">
      <c r="A60" s="71">
        <f>IF($K60="","",36)</f>
        <v/>
      </c>
      <c r="B60" s="72">
        <f>IF($K60="","",IF(ISNUMBER(INDEX('原価明細'!$A$5:$A$1504,$K60)),INDEX('原価明細'!$A$5:$A$1504,$K60),""))</f>
        <v/>
      </c>
      <c r="C60" s="53">
        <f>IF($K60="","",INDEX('原価明細'!$D$5:$D$1504,$K60)&amp;"")</f>
        <v/>
      </c>
      <c r="D60" s="37">
        <f>IF($K60="","",INDEX('原価明細'!$E$5:$E$1504,$K60)&amp;"")</f>
        <v/>
      </c>
      <c r="E60" s="88" t="n"/>
      <c r="F60" s="70">
        <f>IF($K60="","",IF(ISNUMBER(INDEX('原価明細'!$F$5:$F$1504,$K60)),INDEX('原価明細'!$F$5:$F$1504,$K60),""))</f>
        <v/>
      </c>
      <c r="G60" s="53">
        <f>IF($K60="","",INDEX('原価明細'!$G$5:$G$1504,$K60)&amp;"")</f>
        <v/>
      </c>
      <c r="H60" s="31">
        <f>IF($K60="","",IF(ISNUMBER(INDEX('原価明細'!$J$5:$J$1504,$K60)),INDEX('原価明細'!$J$5:$J$1504,$K60),""))</f>
        <v/>
      </c>
      <c r="I60" s="52">
        <f>IF($K60="","",IF(ISNUMBER(INDEX('原価明細'!$K$5:$K$1504,$K60)),INDEX('原価明細'!$K$5:$K$1504,$K60),""))</f>
        <v/>
      </c>
      <c r="J60" s="82" t="n"/>
      <c r="K60" s="91">
        <f>IFERROR(MATCH(36,'原価明細'!$N$5:$N$1504,0),"")</f>
        <v/>
      </c>
    </row>
    <row r="61" ht="15" customHeight="1">
      <c r="A61" s="71">
        <f>IF($K61="","",37)</f>
        <v/>
      </c>
      <c r="B61" s="72">
        <f>IF($K61="","",IF(ISNUMBER(INDEX('原価明細'!$A$5:$A$1504,$K61)),INDEX('原価明細'!$A$5:$A$1504,$K61),""))</f>
        <v/>
      </c>
      <c r="C61" s="53">
        <f>IF($K61="","",INDEX('原価明細'!$D$5:$D$1504,$K61)&amp;"")</f>
        <v/>
      </c>
      <c r="D61" s="37">
        <f>IF($K61="","",INDEX('原価明細'!$E$5:$E$1504,$K61)&amp;"")</f>
        <v/>
      </c>
      <c r="E61" s="88" t="n"/>
      <c r="F61" s="70">
        <f>IF($K61="","",IF(ISNUMBER(INDEX('原価明細'!$F$5:$F$1504,$K61)),INDEX('原価明細'!$F$5:$F$1504,$K61),""))</f>
        <v/>
      </c>
      <c r="G61" s="53">
        <f>IF($K61="","",INDEX('原価明細'!$G$5:$G$1504,$K61)&amp;"")</f>
        <v/>
      </c>
      <c r="H61" s="31">
        <f>IF($K61="","",IF(ISNUMBER(INDEX('原価明細'!$J$5:$J$1504,$K61)),INDEX('原価明細'!$J$5:$J$1504,$K61),""))</f>
        <v/>
      </c>
      <c r="I61" s="52">
        <f>IF($K61="","",IF(ISNUMBER(INDEX('原価明細'!$K$5:$K$1504,$K61)),INDEX('原価明細'!$K$5:$K$1504,$K61),""))</f>
        <v/>
      </c>
      <c r="J61" s="82" t="n"/>
      <c r="K61" s="91">
        <f>IFERROR(MATCH(37,'原価明細'!$N$5:$N$1504,0),"")</f>
        <v/>
      </c>
    </row>
    <row r="62" ht="15" customHeight="1">
      <c r="A62" s="71">
        <f>IF($K62="","",38)</f>
        <v/>
      </c>
      <c r="B62" s="72">
        <f>IF($K62="","",IF(ISNUMBER(INDEX('原価明細'!$A$5:$A$1504,$K62)),INDEX('原価明細'!$A$5:$A$1504,$K62),""))</f>
        <v/>
      </c>
      <c r="C62" s="53">
        <f>IF($K62="","",INDEX('原価明細'!$D$5:$D$1504,$K62)&amp;"")</f>
        <v/>
      </c>
      <c r="D62" s="37">
        <f>IF($K62="","",INDEX('原価明細'!$E$5:$E$1504,$K62)&amp;"")</f>
        <v/>
      </c>
      <c r="E62" s="88" t="n"/>
      <c r="F62" s="70">
        <f>IF($K62="","",IF(ISNUMBER(INDEX('原価明細'!$F$5:$F$1504,$K62)),INDEX('原価明細'!$F$5:$F$1504,$K62),""))</f>
        <v/>
      </c>
      <c r="G62" s="53">
        <f>IF($K62="","",INDEX('原価明細'!$G$5:$G$1504,$K62)&amp;"")</f>
        <v/>
      </c>
      <c r="H62" s="31">
        <f>IF($K62="","",IF(ISNUMBER(INDEX('原価明細'!$J$5:$J$1504,$K62)),INDEX('原価明細'!$J$5:$J$1504,$K62),""))</f>
        <v/>
      </c>
      <c r="I62" s="52">
        <f>IF($K62="","",IF(ISNUMBER(INDEX('原価明細'!$K$5:$K$1504,$K62)),INDEX('原価明細'!$K$5:$K$1504,$K62),""))</f>
        <v/>
      </c>
      <c r="J62" s="82" t="n"/>
      <c r="K62" s="91">
        <f>IFERROR(MATCH(38,'原価明細'!$N$5:$N$1504,0),"")</f>
        <v/>
      </c>
    </row>
    <row r="63" ht="15" customHeight="1">
      <c r="A63" s="71">
        <f>IF($K63="","",39)</f>
        <v/>
      </c>
      <c r="B63" s="72">
        <f>IF($K63="","",IF(ISNUMBER(INDEX('原価明細'!$A$5:$A$1504,$K63)),INDEX('原価明細'!$A$5:$A$1504,$K63),""))</f>
        <v/>
      </c>
      <c r="C63" s="53">
        <f>IF($K63="","",INDEX('原価明細'!$D$5:$D$1504,$K63)&amp;"")</f>
        <v/>
      </c>
      <c r="D63" s="37">
        <f>IF($K63="","",INDEX('原価明細'!$E$5:$E$1504,$K63)&amp;"")</f>
        <v/>
      </c>
      <c r="E63" s="88" t="n"/>
      <c r="F63" s="70">
        <f>IF($K63="","",IF(ISNUMBER(INDEX('原価明細'!$F$5:$F$1504,$K63)),INDEX('原価明細'!$F$5:$F$1504,$K63),""))</f>
        <v/>
      </c>
      <c r="G63" s="53">
        <f>IF($K63="","",INDEX('原価明細'!$G$5:$G$1504,$K63)&amp;"")</f>
        <v/>
      </c>
      <c r="H63" s="31">
        <f>IF($K63="","",IF(ISNUMBER(INDEX('原価明細'!$J$5:$J$1504,$K63)),INDEX('原価明細'!$J$5:$J$1504,$K63),""))</f>
        <v/>
      </c>
      <c r="I63" s="52">
        <f>IF($K63="","",IF(ISNUMBER(INDEX('原価明細'!$K$5:$K$1504,$K63)),INDEX('原価明細'!$K$5:$K$1504,$K63),""))</f>
        <v/>
      </c>
      <c r="J63" s="82" t="n"/>
      <c r="K63" s="91">
        <f>IFERROR(MATCH(39,'原価明細'!$N$5:$N$1504,0),"")</f>
        <v/>
      </c>
    </row>
    <row r="64" ht="15" customHeight="1">
      <c r="A64" s="71">
        <f>IF($K64="","",40)</f>
        <v/>
      </c>
      <c r="B64" s="72">
        <f>IF($K64="","",IF(ISNUMBER(INDEX('原価明細'!$A$5:$A$1504,$K64)),INDEX('原価明細'!$A$5:$A$1504,$K64),""))</f>
        <v/>
      </c>
      <c r="C64" s="53">
        <f>IF($K64="","",INDEX('原価明細'!$D$5:$D$1504,$K64)&amp;"")</f>
        <v/>
      </c>
      <c r="D64" s="37">
        <f>IF($K64="","",INDEX('原価明細'!$E$5:$E$1504,$K64)&amp;"")</f>
        <v/>
      </c>
      <c r="E64" s="88" t="n"/>
      <c r="F64" s="70">
        <f>IF($K64="","",IF(ISNUMBER(INDEX('原価明細'!$F$5:$F$1504,$K64)),INDEX('原価明細'!$F$5:$F$1504,$K64),""))</f>
        <v/>
      </c>
      <c r="G64" s="53">
        <f>IF($K64="","",INDEX('原価明細'!$G$5:$G$1504,$K64)&amp;"")</f>
        <v/>
      </c>
      <c r="H64" s="31">
        <f>IF($K64="","",IF(ISNUMBER(INDEX('原価明細'!$J$5:$J$1504,$K64)),INDEX('原価明細'!$J$5:$J$1504,$K64),""))</f>
        <v/>
      </c>
      <c r="I64" s="52">
        <f>IF($K64="","",IF(ISNUMBER(INDEX('原価明細'!$K$5:$K$1504,$K64)),INDEX('原価明細'!$K$5:$K$1504,$K64),""))</f>
        <v/>
      </c>
      <c r="J64" s="82" t="n"/>
      <c r="K64" s="91">
        <f>IFERROR(MATCH(40,'原価明細'!$N$5:$N$1504,0),"")</f>
        <v/>
      </c>
    </row>
    <row r="65">
      <c r="A65" s="85">
        <f>IF($C$3="","",IF(COUNTIF('原価明細'!$B$5:$B$1504,$C$3)&gt;40,"この案件の明細は全部で"&amp;COUNTIF('原価明細'!$B$5:$B$1504,$C$3)&amp;"行。カードには最初の40行を出しています（原価明細シートで絞り込んで見ます）。","この案件の明細は全部カードに出ています。"))</f>
        <v/>
      </c>
      <c r="B65" s="82" t="n"/>
      <c r="C65" s="82" t="n"/>
      <c r="D65" s="82" t="n"/>
      <c r="E65" s="82" t="n"/>
      <c r="F65" s="82" t="n"/>
      <c r="G65" s="82" t="n"/>
      <c r="H65" s="82" t="n"/>
      <c r="I65" s="82" t="n"/>
      <c r="J65" s="82" t="n"/>
      <c r="K65" s="82" t="n"/>
    </row>
  </sheetData>
  <mergeCells count="89">
    <mergeCell ref="E3:I3"/>
    <mergeCell ref="D60:E60"/>
    <mergeCell ref="A15:B15"/>
    <mergeCell ref="F16:G16"/>
    <mergeCell ref="D36:E36"/>
    <mergeCell ref="D31:E31"/>
    <mergeCell ref="H9:I9"/>
    <mergeCell ref="D45:E45"/>
    <mergeCell ref="A2:I2"/>
    <mergeCell ref="A7:B7"/>
    <mergeCell ref="F15:G15"/>
    <mergeCell ref="D61:E61"/>
    <mergeCell ref="C7:E7"/>
    <mergeCell ref="D48:E48"/>
    <mergeCell ref="C5:I5"/>
    <mergeCell ref="D62:E62"/>
    <mergeCell ref="F13:G13"/>
    <mergeCell ref="A17:B17"/>
    <mergeCell ref="D56:E56"/>
    <mergeCell ref="D24:E24"/>
    <mergeCell ref="D64:E64"/>
    <mergeCell ref="D33:E33"/>
    <mergeCell ref="A19:B19"/>
    <mergeCell ref="D51:E51"/>
    <mergeCell ref="A9:B9"/>
    <mergeCell ref="D26:E26"/>
    <mergeCell ref="C3:D3"/>
    <mergeCell ref="D35:E35"/>
    <mergeCell ref="D34:E34"/>
    <mergeCell ref="A11:B11"/>
    <mergeCell ref="F6:G6"/>
    <mergeCell ref="F19:I19"/>
    <mergeCell ref="D53:E53"/>
    <mergeCell ref="D47:E47"/>
    <mergeCell ref="D37:E37"/>
    <mergeCell ref="F20:I20"/>
    <mergeCell ref="A8:B8"/>
    <mergeCell ref="F9:G9"/>
    <mergeCell ref="D39:E39"/>
    <mergeCell ref="D29:E29"/>
    <mergeCell ref="A1:I1"/>
    <mergeCell ref="D38:E38"/>
    <mergeCell ref="A65:I65"/>
    <mergeCell ref="D63:E63"/>
    <mergeCell ref="C9:E9"/>
    <mergeCell ref="F7:G7"/>
    <mergeCell ref="D52:E52"/>
    <mergeCell ref="D49:E49"/>
    <mergeCell ref="D27:E27"/>
    <mergeCell ref="A23:I23"/>
    <mergeCell ref="A4:I4"/>
    <mergeCell ref="A3:B3"/>
    <mergeCell ref="F8:G8"/>
    <mergeCell ref="A12:B12"/>
    <mergeCell ref="A21:B21"/>
    <mergeCell ref="A5:B5"/>
    <mergeCell ref="D28:E28"/>
    <mergeCell ref="A14:B14"/>
    <mergeCell ref="C6:E6"/>
    <mergeCell ref="D25:E25"/>
    <mergeCell ref="F18:I18"/>
    <mergeCell ref="D55:E55"/>
    <mergeCell ref="D30:E30"/>
    <mergeCell ref="F14:G14"/>
    <mergeCell ref="D54:E54"/>
    <mergeCell ref="F11:G11"/>
    <mergeCell ref="D17:I17"/>
    <mergeCell ref="D46:E46"/>
    <mergeCell ref="D40:E40"/>
    <mergeCell ref="A6:B6"/>
    <mergeCell ref="F12:G12"/>
    <mergeCell ref="A16:B16"/>
    <mergeCell ref="H6:I6"/>
    <mergeCell ref="D57:E57"/>
    <mergeCell ref="C8:E8"/>
    <mergeCell ref="D32:E32"/>
    <mergeCell ref="D41:E41"/>
    <mergeCell ref="A18:B18"/>
    <mergeCell ref="H7:I7"/>
    <mergeCell ref="D43:E43"/>
    <mergeCell ref="F21:I21"/>
    <mergeCell ref="D58:E58"/>
    <mergeCell ref="A20:B20"/>
    <mergeCell ref="D42:E42"/>
    <mergeCell ref="A13:B13"/>
    <mergeCell ref="H8:I8"/>
    <mergeCell ref="D50:E50"/>
    <mergeCell ref="D44:E44"/>
    <mergeCell ref="D59:E59"/>
  </mergeCells>
  <conditionalFormatting sqref="H12:H16">
    <cfRule type="expression" priority="1" dxfId="0">
      <formula>H12="超過"</formula>
    </cfRule>
    <cfRule type="expression" priority="2" dxfId="2">
      <formula>H12="注意"</formula>
    </cfRule>
    <cfRule type="expression" priority="3" dxfId="3">
      <formula>H12="予定内"</formula>
    </cfRule>
    <cfRule type="expression" priority="4" dxfId="4">
      <formula>H12="予定なし"</formula>
    </cfRule>
  </conditionalFormatting>
  <conditionalFormatting sqref="E12:E16">
    <cfRule type="expression" priority="5" dxfId="1">
      <formula>AND(ISNUMBER(E12),E12&gt;0)</formula>
    </cfRule>
  </conditionalFormatting>
  <conditionalFormatting sqref="E19:E20">
    <cfRule type="expression" priority="6" dxfId="1">
      <formula>AND(ISNUMBER(E19),E19&lt;0)</formula>
    </cfRule>
  </conditionalFormatting>
  <dataValidations count="1">
    <dataValidation sqref="C3" showDropDown="0" showInputMessage="0" showErrorMessage="1" allowBlank="1" errorTitle="一覧から選んでください" error="案件シートにある案件番号を選んでください。" type="list">
      <formula1>'案件'!$A$6:$A$105</formula1>
    </dataValidation>
  </dataValidations>
  <printOptions horizontalCentered="1"/>
  <pageMargins left="0.4" right="0.4" top="0.45" bottom="0.45" header="0.2" footer="0.2"/>
  <pageSetup orientation="portrait" paperSize="9" fitToHeight="1" fitToWidth="1"/>
</worksheet>
</file>

<file path=xl/worksheets/sheet7.xml><?xml version="1.0" encoding="utf-8"?>
<worksheet xmlns="http://schemas.openxmlformats.org/spreadsheetml/2006/main">
  <sheetPr>
    <tabColor rgb="00B9C4CF"/>
    <outlinePr summaryBelow="1" summaryRight="1"/>
    <pageSetUpPr fitToPage="1"/>
  </sheetPr>
  <dimension ref="A1:N21"/>
  <sheetViews>
    <sheetView showGridLines="0" tabSelected="0"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3" customWidth="1" min="6" max="6"/>
    <col width="7" customWidth="1" min="7" max="7"/>
    <col width="13" customWidth="1" min="8" max="8"/>
    <col width="13" customWidth="1" min="9" max="9"/>
    <col width="13" customWidth="1" min="10" max="10"/>
    <col width="9" customWidth="1" min="11" max="11"/>
    <col width="2" customWidth="1" min="12" max="12"/>
    <col width="11" customWidth="1" min="13" max="13"/>
    <col width="7" customWidth="1" min="14" max="14"/>
  </cols>
  <sheetData>
    <row r="1" ht="26" customHeight="1">
      <c r="A1" s="81" t="inlineStr">
        <is>
          <t>月別集計（原価の月と、完了した案件の粗利）</t>
        </is>
      </c>
      <c r="B1" s="82" t="n"/>
      <c r="C1" s="82" t="n"/>
      <c r="D1" s="82" t="n"/>
      <c r="E1" s="82" t="n"/>
      <c r="F1" s="82" t="n"/>
      <c r="G1" s="82" t="n"/>
      <c r="H1" s="82" t="n"/>
      <c r="I1" s="82" t="n"/>
      <c r="J1" s="82" t="n"/>
      <c r="K1" s="82" t="n"/>
      <c r="L1" s="82" t="n"/>
      <c r="M1" s="82" t="n"/>
      <c r="N1" s="82" t="n"/>
    </row>
    <row r="2">
      <c r="A2" s="92">
        <f>IF(TRIM('設定'!$B$3)="","",TRIM('設定'!$B$3)&amp;"　")&amp;'設定'!$D$4&amp;"　金額は"&amp;'設定'!$B$5</f>
        <v/>
      </c>
      <c r="B2" s="82" t="n"/>
      <c r="C2" s="82" t="n"/>
      <c r="D2" s="82" t="n"/>
      <c r="E2" s="82" t="n"/>
      <c r="F2" s="82" t="n"/>
      <c r="G2" s="82" t="n"/>
      <c r="H2" s="82" t="n"/>
      <c r="I2" s="82" t="n"/>
      <c r="J2" s="82" t="n"/>
      <c r="K2" s="82" t="n"/>
      <c r="L2" s="82" t="n"/>
      <c r="M2" s="82" t="n"/>
      <c r="N2" s="82" t="n"/>
    </row>
    <row r="3" ht="30" customHeight="1">
      <c r="A3" s="85" t="inlineStr">
        <is>
          <t>全部自動です。左は原価明細の日付の月で集計（いつ使ったか）。右はその月に完了した案件（案件シートの完了日）の受注金額と原価・粗利で、1つの案件の原価が何か月にまたがっていても、完了した月にまとめて入ります。</t>
        </is>
      </c>
      <c r="B3" s="82" t="n"/>
      <c r="C3" s="82" t="n"/>
      <c r="D3" s="82" t="n"/>
      <c r="E3" s="82" t="n"/>
      <c r="F3" s="82" t="n"/>
      <c r="G3" s="82" t="n"/>
      <c r="H3" s="82" t="n"/>
      <c r="I3" s="82" t="n"/>
      <c r="J3" s="82" t="n"/>
      <c r="K3" s="82" t="n"/>
      <c r="L3" s="82" t="n"/>
      <c r="M3" s="82" t="n"/>
      <c r="N3" s="82" t="n"/>
    </row>
    <row r="4">
      <c r="A4" s="26" t="n"/>
      <c r="B4" s="26" t="inlineStr">
        <is>
          <t>原価（明細の日付の月）</t>
        </is>
      </c>
      <c r="C4" s="87" t="n"/>
      <c r="D4" s="87" t="n"/>
      <c r="E4" s="87" t="n"/>
      <c r="F4" s="88" t="n"/>
      <c r="G4" s="26" t="inlineStr">
        <is>
          <t>完了した案件（完了日の月）</t>
        </is>
      </c>
      <c r="H4" s="87" t="n"/>
      <c r="I4" s="87" t="n"/>
      <c r="J4" s="87" t="n"/>
      <c r="K4" s="88" t="n"/>
      <c r="L4" s="82" t="n"/>
      <c r="M4" s="82" t="n"/>
      <c r="N4" s="82" t="n"/>
    </row>
    <row r="5" ht="22" customHeight="1">
      <c r="A5" s="18" t="inlineStr">
        <is>
          <t>月</t>
        </is>
      </c>
      <c r="B5" s="18" t="inlineStr">
        <is>
          <t>材料費</t>
        </is>
      </c>
      <c r="C5" s="18" t="inlineStr">
        <is>
          <t>労務費</t>
        </is>
      </c>
      <c r="D5" s="18" t="inlineStr">
        <is>
          <t>外注費</t>
        </is>
      </c>
      <c r="E5" s="18" t="inlineStr">
        <is>
          <t>経費</t>
        </is>
      </c>
      <c r="F5" s="18" t="inlineStr">
        <is>
          <t>原価 計</t>
        </is>
      </c>
      <c r="G5" s="18" t="inlineStr">
        <is>
          <t>件数</t>
        </is>
      </c>
      <c r="H5" s="18" t="inlineStr">
        <is>
          <t>受注金額</t>
        </is>
      </c>
      <c r="I5" s="18" t="inlineStr">
        <is>
          <t>原価</t>
        </is>
      </c>
      <c r="J5" s="18" t="inlineStr">
        <is>
          <t>粗利</t>
        </is>
      </c>
      <c r="K5" s="18" t="inlineStr">
        <is>
          <t>粗利率</t>
        </is>
      </c>
      <c r="L5" s="82" t="n"/>
      <c r="M5" s="90" t="inlineStr">
        <is>
          <t>計算用 月の初日</t>
        </is>
      </c>
      <c r="N5" s="90" t="inlineStr">
        <is>
          <t>計算用 月</t>
        </is>
      </c>
    </row>
    <row r="6" ht="18" customHeight="1">
      <c r="A6" s="73">
        <f>YEAR(M6)&amp;"年"&amp;MONTH(M6)&amp;"月"</f>
        <v/>
      </c>
      <c r="B6" s="31">
        <f>SUMIFS('原価明細'!$K$5:$K$1504,'原価明細'!$A$5:$A$1504,"&gt;="&amp;$M6,'原価明細'!$A$5:$A$1504,"&lt;"&amp;DATE(YEAR($M6),MONTH($M6)+1,1),'原価明細'!$D$5:$D$1504,"材料費")</f>
        <v/>
      </c>
      <c r="C6" s="31">
        <f>SUMIFS('原価明細'!$K$5:$K$1504,'原価明細'!$A$5:$A$1504,"&gt;="&amp;$M6,'原価明細'!$A$5:$A$1504,"&lt;"&amp;DATE(YEAR($M6),MONTH($M6)+1,1),'原価明細'!$D$5:$D$1504,"労務費")</f>
        <v/>
      </c>
      <c r="D6" s="31">
        <f>SUMIFS('原価明細'!$K$5:$K$1504,'原価明細'!$A$5:$A$1504,"&gt;="&amp;$M6,'原価明細'!$A$5:$A$1504,"&lt;"&amp;DATE(YEAR($M6),MONTH($M6)+1,1),'原価明細'!$D$5:$D$1504,"外注費")</f>
        <v/>
      </c>
      <c r="E6" s="31">
        <f>SUMIFS('原価明細'!$K$5:$K$1504,'原価明細'!$A$5:$A$1504,"&gt;="&amp;$M6,'原価明細'!$A$5:$A$1504,"&lt;"&amp;DATE(YEAR($M6),MONTH($M6)+1,1),'原価明細'!$D$5:$D$1504,"経費")</f>
        <v/>
      </c>
      <c r="F6" s="30">
        <f>SUM(B6:E6)</f>
        <v/>
      </c>
      <c r="G6" s="48">
        <f>COUNTIFS('案件別集計'!$X$13:$X$112,"&gt;="&amp;$M6,'案件別集計'!$X$13:$X$112,"&lt;"&amp;DATE(YEAR($M6),MONTH($M6)+1,1),'案件別集計'!$C$13:$C$112,"完了")</f>
        <v/>
      </c>
      <c r="H6" s="31">
        <f>SUMIFS('案件別集計'!$D$13:$D$112,'案件別集計'!$X$13:$X$112,"&gt;="&amp;$M6,'案件別集計'!$X$13:$X$112,"&lt;"&amp;DATE(YEAR($M6),MONTH($M6)+1,1),'案件別集計'!$C$13:$C$112,"完了")</f>
        <v/>
      </c>
      <c r="I6" s="31">
        <f>SUMIFS('案件別集計'!$F$13:$F$112,'案件別集計'!$X$13:$X$112,"&gt;="&amp;$M6,'案件別集計'!$X$13:$X$112,"&lt;"&amp;DATE(YEAR($M6),MONTH($M6)+1,1),'案件別集計'!$C$13:$C$112,"完了")</f>
        <v/>
      </c>
      <c r="J6" s="30">
        <f>SUMIFS('案件別集計'!$L$13:$L$112,'案件別集計'!$X$13:$X$112,"&gt;="&amp;$M6,'案件別集計'!$X$13:$X$112,"&lt;"&amp;DATE(YEAR($M6),MONTH($M6)+1,1),'案件別集計'!$C$13:$C$112,"完了")</f>
        <v/>
      </c>
      <c r="K6" s="32">
        <f>IF(H6&gt;0,J6/H6,"－")</f>
        <v/>
      </c>
      <c r="L6" s="82" t="n"/>
      <c r="M6" s="95">
        <f>DATE('設定'!$B$4,'設定'!$C$4+0,1)</f>
        <v/>
      </c>
      <c r="N6" s="91">
        <f>MONTH(M6)</f>
        <v/>
      </c>
    </row>
    <row r="7" ht="18" customHeight="1">
      <c r="A7" s="73">
        <f>YEAR(M7)&amp;"年"&amp;MONTH(M7)&amp;"月"</f>
        <v/>
      </c>
      <c r="B7" s="31">
        <f>SUMIFS('原価明細'!$K$5:$K$1504,'原価明細'!$A$5:$A$1504,"&gt;="&amp;$M7,'原価明細'!$A$5:$A$1504,"&lt;"&amp;DATE(YEAR($M7),MONTH($M7)+1,1),'原価明細'!$D$5:$D$1504,"材料費")</f>
        <v/>
      </c>
      <c r="C7" s="31">
        <f>SUMIFS('原価明細'!$K$5:$K$1504,'原価明細'!$A$5:$A$1504,"&gt;="&amp;$M7,'原価明細'!$A$5:$A$1504,"&lt;"&amp;DATE(YEAR($M7),MONTH($M7)+1,1),'原価明細'!$D$5:$D$1504,"労務費")</f>
        <v/>
      </c>
      <c r="D7" s="31">
        <f>SUMIFS('原価明細'!$K$5:$K$1504,'原価明細'!$A$5:$A$1504,"&gt;="&amp;$M7,'原価明細'!$A$5:$A$1504,"&lt;"&amp;DATE(YEAR($M7),MONTH($M7)+1,1),'原価明細'!$D$5:$D$1504,"外注費")</f>
        <v/>
      </c>
      <c r="E7" s="31">
        <f>SUMIFS('原価明細'!$K$5:$K$1504,'原価明細'!$A$5:$A$1504,"&gt;="&amp;$M7,'原価明細'!$A$5:$A$1504,"&lt;"&amp;DATE(YEAR($M7),MONTH($M7)+1,1),'原価明細'!$D$5:$D$1504,"経費")</f>
        <v/>
      </c>
      <c r="F7" s="30">
        <f>SUM(B7:E7)</f>
        <v/>
      </c>
      <c r="G7" s="48">
        <f>COUNTIFS('案件別集計'!$X$13:$X$112,"&gt;="&amp;$M7,'案件別集計'!$X$13:$X$112,"&lt;"&amp;DATE(YEAR($M7),MONTH($M7)+1,1),'案件別集計'!$C$13:$C$112,"完了")</f>
        <v/>
      </c>
      <c r="H7" s="31">
        <f>SUMIFS('案件別集計'!$D$13:$D$112,'案件別集計'!$X$13:$X$112,"&gt;="&amp;$M7,'案件別集計'!$X$13:$X$112,"&lt;"&amp;DATE(YEAR($M7),MONTH($M7)+1,1),'案件別集計'!$C$13:$C$112,"完了")</f>
        <v/>
      </c>
      <c r="I7" s="31">
        <f>SUMIFS('案件別集計'!$F$13:$F$112,'案件別集計'!$X$13:$X$112,"&gt;="&amp;$M7,'案件別集計'!$X$13:$X$112,"&lt;"&amp;DATE(YEAR($M7),MONTH($M7)+1,1),'案件別集計'!$C$13:$C$112,"完了")</f>
        <v/>
      </c>
      <c r="J7" s="30">
        <f>SUMIFS('案件別集計'!$L$13:$L$112,'案件別集計'!$X$13:$X$112,"&gt;="&amp;$M7,'案件別集計'!$X$13:$X$112,"&lt;"&amp;DATE(YEAR($M7),MONTH($M7)+1,1),'案件別集計'!$C$13:$C$112,"完了")</f>
        <v/>
      </c>
      <c r="K7" s="32">
        <f>IF(H7&gt;0,J7/H7,"－")</f>
        <v/>
      </c>
      <c r="L7" s="82" t="n"/>
      <c r="M7" s="95">
        <f>DATE('設定'!$B$4,'設定'!$C$4+1,1)</f>
        <v/>
      </c>
      <c r="N7" s="91">
        <f>MONTH(M7)</f>
        <v/>
      </c>
    </row>
    <row r="8" ht="18" customHeight="1">
      <c r="A8" s="73">
        <f>YEAR(M8)&amp;"年"&amp;MONTH(M8)&amp;"月"</f>
        <v/>
      </c>
      <c r="B8" s="31">
        <f>SUMIFS('原価明細'!$K$5:$K$1504,'原価明細'!$A$5:$A$1504,"&gt;="&amp;$M8,'原価明細'!$A$5:$A$1504,"&lt;"&amp;DATE(YEAR($M8),MONTH($M8)+1,1),'原価明細'!$D$5:$D$1504,"材料費")</f>
        <v/>
      </c>
      <c r="C8" s="31">
        <f>SUMIFS('原価明細'!$K$5:$K$1504,'原価明細'!$A$5:$A$1504,"&gt;="&amp;$M8,'原価明細'!$A$5:$A$1504,"&lt;"&amp;DATE(YEAR($M8),MONTH($M8)+1,1),'原価明細'!$D$5:$D$1504,"労務費")</f>
        <v/>
      </c>
      <c r="D8" s="31">
        <f>SUMIFS('原価明細'!$K$5:$K$1504,'原価明細'!$A$5:$A$1504,"&gt;="&amp;$M8,'原価明細'!$A$5:$A$1504,"&lt;"&amp;DATE(YEAR($M8),MONTH($M8)+1,1),'原価明細'!$D$5:$D$1504,"外注費")</f>
        <v/>
      </c>
      <c r="E8" s="31">
        <f>SUMIFS('原価明細'!$K$5:$K$1504,'原価明細'!$A$5:$A$1504,"&gt;="&amp;$M8,'原価明細'!$A$5:$A$1504,"&lt;"&amp;DATE(YEAR($M8),MONTH($M8)+1,1),'原価明細'!$D$5:$D$1504,"経費")</f>
        <v/>
      </c>
      <c r="F8" s="30">
        <f>SUM(B8:E8)</f>
        <v/>
      </c>
      <c r="G8" s="48">
        <f>COUNTIFS('案件別集計'!$X$13:$X$112,"&gt;="&amp;$M8,'案件別集計'!$X$13:$X$112,"&lt;"&amp;DATE(YEAR($M8),MONTH($M8)+1,1),'案件別集計'!$C$13:$C$112,"完了")</f>
        <v/>
      </c>
      <c r="H8" s="31">
        <f>SUMIFS('案件別集計'!$D$13:$D$112,'案件別集計'!$X$13:$X$112,"&gt;="&amp;$M8,'案件別集計'!$X$13:$X$112,"&lt;"&amp;DATE(YEAR($M8),MONTH($M8)+1,1),'案件別集計'!$C$13:$C$112,"完了")</f>
        <v/>
      </c>
      <c r="I8" s="31">
        <f>SUMIFS('案件別集計'!$F$13:$F$112,'案件別集計'!$X$13:$X$112,"&gt;="&amp;$M8,'案件別集計'!$X$13:$X$112,"&lt;"&amp;DATE(YEAR($M8),MONTH($M8)+1,1),'案件別集計'!$C$13:$C$112,"完了")</f>
        <v/>
      </c>
      <c r="J8" s="30">
        <f>SUMIFS('案件別集計'!$L$13:$L$112,'案件別集計'!$X$13:$X$112,"&gt;="&amp;$M8,'案件別集計'!$X$13:$X$112,"&lt;"&amp;DATE(YEAR($M8),MONTH($M8)+1,1),'案件別集計'!$C$13:$C$112,"完了")</f>
        <v/>
      </c>
      <c r="K8" s="32">
        <f>IF(H8&gt;0,J8/H8,"－")</f>
        <v/>
      </c>
      <c r="L8" s="82" t="n"/>
      <c r="M8" s="95">
        <f>DATE('設定'!$B$4,'設定'!$C$4+2,1)</f>
        <v/>
      </c>
      <c r="N8" s="91">
        <f>MONTH(M8)</f>
        <v/>
      </c>
    </row>
    <row r="9" ht="18" customHeight="1">
      <c r="A9" s="73">
        <f>YEAR(M9)&amp;"年"&amp;MONTH(M9)&amp;"月"</f>
        <v/>
      </c>
      <c r="B9" s="31">
        <f>SUMIFS('原価明細'!$K$5:$K$1504,'原価明細'!$A$5:$A$1504,"&gt;="&amp;$M9,'原価明細'!$A$5:$A$1504,"&lt;"&amp;DATE(YEAR($M9),MONTH($M9)+1,1),'原価明細'!$D$5:$D$1504,"材料費")</f>
        <v/>
      </c>
      <c r="C9" s="31">
        <f>SUMIFS('原価明細'!$K$5:$K$1504,'原価明細'!$A$5:$A$1504,"&gt;="&amp;$M9,'原価明細'!$A$5:$A$1504,"&lt;"&amp;DATE(YEAR($M9),MONTH($M9)+1,1),'原価明細'!$D$5:$D$1504,"労務費")</f>
        <v/>
      </c>
      <c r="D9" s="31">
        <f>SUMIFS('原価明細'!$K$5:$K$1504,'原価明細'!$A$5:$A$1504,"&gt;="&amp;$M9,'原価明細'!$A$5:$A$1504,"&lt;"&amp;DATE(YEAR($M9),MONTH($M9)+1,1),'原価明細'!$D$5:$D$1504,"外注費")</f>
        <v/>
      </c>
      <c r="E9" s="31">
        <f>SUMIFS('原価明細'!$K$5:$K$1504,'原価明細'!$A$5:$A$1504,"&gt;="&amp;$M9,'原価明細'!$A$5:$A$1504,"&lt;"&amp;DATE(YEAR($M9),MONTH($M9)+1,1),'原価明細'!$D$5:$D$1504,"経費")</f>
        <v/>
      </c>
      <c r="F9" s="30">
        <f>SUM(B9:E9)</f>
        <v/>
      </c>
      <c r="G9" s="48">
        <f>COUNTIFS('案件別集計'!$X$13:$X$112,"&gt;="&amp;$M9,'案件別集計'!$X$13:$X$112,"&lt;"&amp;DATE(YEAR($M9),MONTH($M9)+1,1),'案件別集計'!$C$13:$C$112,"完了")</f>
        <v/>
      </c>
      <c r="H9" s="31">
        <f>SUMIFS('案件別集計'!$D$13:$D$112,'案件別集計'!$X$13:$X$112,"&gt;="&amp;$M9,'案件別集計'!$X$13:$X$112,"&lt;"&amp;DATE(YEAR($M9),MONTH($M9)+1,1),'案件別集計'!$C$13:$C$112,"完了")</f>
        <v/>
      </c>
      <c r="I9" s="31">
        <f>SUMIFS('案件別集計'!$F$13:$F$112,'案件別集計'!$X$13:$X$112,"&gt;="&amp;$M9,'案件別集計'!$X$13:$X$112,"&lt;"&amp;DATE(YEAR($M9),MONTH($M9)+1,1),'案件別集計'!$C$13:$C$112,"完了")</f>
        <v/>
      </c>
      <c r="J9" s="30">
        <f>SUMIFS('案件別集計'!$L$13:$L$112,'案件別集計'!$X$13:$X$112,"&gt;="&amp;$M9,'案件別集計'!$X$13:$X$112,"&lt;"&amp;DATE(YEAR($M9),MONTH($M9)+1,1),'案件別集計'!$C$13:$C$112,"完了")</f>
        <v/>
      </c>
      <c r="K9" s="32">
        <f>IF(H9&gt;0,J9/H9,"－")</f>
        <v/>
      </c>
      <c r="L9" s="82" t="n"/>
      <c r="M9" s="95">
        <f>DATE('設定'!$B$4,'設定'!$C$4+3,1)</f>
        <v/>
      </c>
      <c r="N9" s="91">
        <f>MONTH(M9)</f>
        <v/>
      </c>
    </row>
    <row r="10" ht="18" customHeight="1">
      <c r="A10" s="73">
        <f>YEAR(M10)&amp;"年"&amp;MONTH(M10)&amp;"月"</f>
        <v/>
      </c>
      <c r="B10" s="31">
        <f>SUMIFS('原価明細'!$K$5:$K$1504,'原価明細'!$A$5:$A$1504,"&gt;="&amp;$M10,'原価明細'!$A$5:$A$1504,"&lt;"&amp;DATE(YEAR($M10),MONTH($M10)+1,1),'原価明細'!$D$5:$D$1504,"材料費")</f>
        <v/>
      </c>
      <c r="C10" s="31">
        <f>SUMIFS('原価明細'!$K$5:$K$1504,'原価明細'!$A$5:$A$1504,"&gt;="&amp;$M10,'原価明細'!$A$5:$A$1504,"&lt;"&amp;DATE(YEAR($M10),MONTH($M10)+1,1),'原価明細'!$D$5:$D$1504,"労務費")</f>
        <v/>
      </c>
      <c r="D10" s="31">
        <f>SUMIFS('原価明細'!$K$5:$K$1504,'原価明細'!$A$5:$A$1504,"&gt;="&amp;$M10,'原価明細'!$A$5:$A$1504,"&lt;"&amp;DATE(YEAR($M10),MONTH($M10)+1,1),'原価明細'!$D$5:$D$1504,"外注費")</f>
        <v/>
      </c>
      <c r="E10" s="31">
        <f>SUMIFS('原価明細'!$K$5:$K$1504,'原価明細'!$A$5:$A$1504,"&gt;="&amp;$M10,'原価明細'!$A$5:$A$1504,"&lt;"&amp;DATE(YEAR($M10),MONTH($M10)+1,1),'原価明細'!$D$5:$D$1504,"経費")</f>
        <v/>
      </c>
      <c r="F10" s="30">
        <f>SUM(B10:E10)</f>
        <v/>
      </c>
      <c r="G10" s="48">
        <f>COUNTIFS('案件別集計'!$X$13:$X$112,"&gt;="&amp;$M10,'案件別集計'!$X$13:$X$112,"&lt;"&amp;DATE(YEAR($M10),MONTH($M10)+1,1),'案件別集計'!$C$13:$C$112,"完了")</f>
        <v/>
      </c>
      <c r="H10" s="31">
        <f>SUMIFS('案件別集計'!$D$13:$D$112,'案件別集計'!$X$13:$X$112,"&gt;="&amp;$M10,'案件別集計'!$X$13:$X$112,"&lt;"&amp;DATE(YEAR($M10),MONTH($M10)+1,1),'案件別集計'!$C$13:$C$112,"完了")</f>
        <v/>
      </c>
      <c r="I10" s="31">
        <f>SUMIFS('案件別集計'!$F$13:$F$112,'案件別集計'!$X$13:$X$112,"&gt;="&amp;$M10,'案件別集計'!$X$13:$X$112,"&lt;"&amp;DATE(YEAR($M10),MONTH($M10)+1,1),'案件別集計'!$C$13:$C$112,"完了")</f>
        <v/>
      </c>
      <c r="J10" s="30">
        <f>SUMIFS('案件別集計'!$L$13:$L$112,'案件別集計'!$X$13:$X$112,"&gt;="&amp;$M10,'案件別集計'!$X$13:$X$112,"&lt;"&amp;DATE(YEAR($M10),MONTH($M10)+1,1),'案件別集計'!$C$13:$C$112,"完了")</f>
        <v/>
      </c>
      <c r="K10" s="32">
        <f>IF(H10&gt;0,J10/H10,"－")</f>
        <v/>
      </c>
      <c r="L10" s="82" t="n"/>
      <c r="M10" s="95">
        <f>DATE('設定'!$B$4,'設定'!$C$4+4,1)</f>
        <v/>
      </c>
      <c r="N10" s="91">
        <f>MONTH(M10)</f>
        <v/>
      </c>
    </row>
    <row r="11" ht="18" customHeight="1">
      <c r="A11" s="73">
        <f>YEAR(M11)&amp;"年"&amp;MONTH(M11)&amp;"月"</f>
        <v/>
      </c>
      <c r="B11" s="31">
        <f>SUMIFS('原価明細'!$K$5:$K$1504,'原価明細'!$A$5:$A$1504,"&gt;="&amp;$M11,'原価明細'!$A$5:$A$1504,"&lt;"&amp;DATE(YEAR($M11),MONTH($M11)+1,1),'原価明細'!$D$5:$D$1504,"材料費")</f>
        <v/>
      </c>
      <c r="C11" s="31">
        <f>SUMIFS('原価明細'!$K$5:$K$1504,'原価明細'!$A$5:$A$1504,"&gt;="&amp;$M11,'原価明細'!$A$5:$A$1504,"&lt;"&amp;DATE(YEAR($M11),MONTH($M11)+1,1),'原価明細'!$D$5:$D$1504,"労務費")</f>
        <v/>
      </c>
      <c r="D11" s="31">
        <f>SUMIFS('原価明細'!$K$5:$K$1504,'原価明細'!$A$5:$A$1504,"&gt;="&amp;$M11,'原価明細'!$A$5:$A$1504,"&lt;"&amp;DATE(YEAR($M11),MONTH($M11)+1,1),'原価明細'!$D$5:$D$1504,"外注費")</f>
        <v/>
      </c>
      <c r="E11" s="31">
        <f>SUMIFS('原価明細'!$K$5:$K$1504,'原価明細'!$A$5:$A$1504,"&gt;="&amp;$M11,'原価明細'!$A$5:$A$1504,"&lt;"&amp;DATE(YEAR($M11),MONTH($M11)+1,1),'原価明細'!$D$5:$D$1504,"経費")</f>
        <v/>
      </c>
      <c r="F11" s="30">
        <f>SUM(B11:E11)</f>
        <v/>
      </c>
      <c r="G11" s="48">
        <f>COUNTIFS('案件別集計'!$X$13:$X$112,"&gt;="&amp;$M11,'案件別集計'!$X$13:$X$112,"&lt;"&amp;DATE(YEAR($M11),MONTH($M11)+1,1),'案件別集計'!$C$13:$C$112,"完了")</f>
        <v/>
      </c>
      <c r="H11" s="31">
        <f>SUMIFS('案件別集計'!$D$13:$D$112,'案件別集計'!$X$13:$X$112,"&gt;="&amp;$M11,'案件別集計'!$X$13:$X$112,"&lt;"&amp;DATE(YEAR($M11),MONTH($M11)+1,1),'案件別集計'!$C$13:$C$112,"完了")</f>
        <v/>
      </c>
      <c r="I11" s="31">
        <f>SUMIFS('案件別集計'!$F$13:$F$112,'案件別集計'!$X$13:$X$112,"&gt;="&amp;$M11,'案件別集計'!$X$13:$X$112,"&lt;"&amp;DATE(YEAR($M11),MONTH($M11)+1,1),'案件別集計'!$C$13:$C$112,"完了")</f>
        <v/>
      </c>
      <c r="J11" s="30">
        <f>SUMIFS('案件別集計'!$L$13:$L$112,'案件別集計'!$X$13:$X$112,"&gt;="&amp;$M11,'案件別集計'!$X$13:$X$112,"&lt;"&amp;DATE(YEAR($M11),MONTH($M11)+1,1),'案件別集計'!$C$13:$C$112,"完了")</f>
        <v/>
      </c>
      <c r="K11" s="32">
        <f>IF(H11&gt;0,J11/H11,"－")</f>
        <v/>
      </c>
      <c r="L11" s="82" t="n"/>
      <c r="M11" s="95">
        <f>DATE('設定'!$B$4,'設定'!$C$4+5,1)</f>
        <v/>
      </c>
      <c r="N11" s="91">
        <f>MONTH(M11)</f>
        <v/>
      </c>
    </row>
    <row r="12" ht="18" customHeight="1">
      <c r="A12" s="73">
        <f>YEAR(M12)&amp;"年"&amp;MONTH(M12)&amp;"月"</f>
        <v/>
      </c>
      <c r="B12" s="31">
        <f>SUMIFS('原価明細'!$K$5:$K$1504,'原価明細'!$A$5:$A$1504,"&gt;="&amp;$M12,'原価明細'!$A$5:$A$1504,"&lt;"&amp;DATE(YEAR($M12),MONTH($M12)+1,1),'原価明細'!$D$5:$D$1504,"材料費")</f>
        <v/>
      </c>
      <c r="C12" s="31">
        <f>SUMIFS('原価明細'!$K$5:$K$1504,'原価明細'!$A$5:$A$1504,"&gt;="&amp;$M12,'原価明細'!$A$5:$A$1504,"&lt;"&amp;DATE(YEAR($M12),MONTH($M12)+1,1),'原価明細'!$D$5:$D$1504,"労務費")</f>
        <v/>
      </c>
      <c r="D12" s="31">
        <f>SUMIFS('原価明細'!$K$5:$K$1504,'原価明細'!$A$5:$A$1504,"&gt;="&amp;$M12,'原価明細'!$A$5:$A$1504,"&lt;"&amp;DATE(YEAR($M12),MONTH($M12)+1,1),'原価明細'!$D$5:$D$1504,"外注費")</f>
        <v/>
      </c>
      <c r="E12" s="31">
        <f>SUMIFS('原価明細'!$K$5:$K$1504,'原価明細'!$A$5:$A$1504,"&gt;="&amp;$M12,'原価明細'!$A$5:$A$1504,"&lt;"&amp;DATE(YEAR($M12),MONTH($M12)+1,1),'原価明細'!$D$5:$D$1504,"経費")</f>
        <v/>
      </c>
      <c r="F12" s="30">
        <f>SUM(B12:E12)</f>
        <v/>
      </c>
      <c r="G12" s="48">
        <f>COUNTIFS('案件別集計'!$X$13:$X$112,"&gt;="&amp;$M12,'案件別集計'!$X$13:$X$112,"&lt;"&amp;DATE(YEAR($M12),MONTH($M12)+1,1),'案件別集計'!$C$13:$C$112,"完了")</f>
        <v/>
      </c>
      <c r="H12" s="31">
        <f>SUMIFS('案件別集計'!$D$13:$D$112,'案件別集計'!$X$13:$X$112,"&gt;="&amp;$M12,'案件別集計'!$X$13:$X$112,"&lt;"&amp;DATE(YEAR($M12),MONTH($M12)+1,1),'案件別集計'!$C$13:$C$112,"完了")</f>
        <v/>
      </c>
      <c r="I12" s="31">
        <f>SUMIFS('案件別集計'!$F$13:$F$112,'案件別集計'!$X$13:$X$112,"&gt;="&amp;$M12,'案件別集計'!$X$13:$X$112,"&lt;"&amp;DATE(YEAR($M12),MONTH($M12)+1,1),'案件別集計'!$C$13:$C$112,"完了")</f>
        <v/>
      </c>
      <c r="J12" s="30">
        <f>SUMIFS('案件別集計'!$L$13:$L$112,'案件別集計'!$X$13:$X$112,"&gt;="&amp;$M12,'案件別集計'!$X$13:$X$112,"&lt;"&amp;DATE(YEAR($M12),MONTH($M12)+1,1),'案件別集計'!$C$13:$C$112,"完了")</f>
        <v/>
      </c>
      <c r="K12" s="32">
        <f>IF(H12&gt;0,J12/H12,"－")</f>
        <v/>
      </c>
      <c r="L12" s="82" t="n"/>
      <c r="M12" s="95">
        <f>DATE('設定'!$B$4,'設定'!$C$4+6,1)</f>
        <v/>
      </c>
      <c r="N12" s="91">
        <f>MONTH(M12)</f>
        <v/>
      </c>
    </row>
    <row r="13" ht="18" customHeight="1">
      <c r="A13" s="73">
        <f>YEAR(M13)&amp;"年"&amp;MONTH(M13)&amp;"月"</f>
        <v/>
      </c>
      <c r="B13" s="31">
        <f>SUMIFS('原価明細'!$K$5:$K$1504,'原価明細'!$A$5:$A$1504,"&gt;="&amp;$M13,'原価明細'!$A$5:$A$1504,"&lt;"&amp;DATE(YEAR($M13),MONTH($M13)+1,1),'原価明細'!$D$5:$D$1504,"材料費")</f>
        <v/>
      </c>
      <c r="C13" s="31">
        <f>SUMIFS('原価明細'!$K$5:$K$1504,'原価明細'!$A$5:$A$1504,"&gt;="&amp;$M13,'原価明細'!$A$5:$A$1504,"&lt;"&amp;DATE(YEAR($M13),MONTH($M13)+1,1),'原価明細'!$D$5:$D$1504,"労務費")</f>
        <v/>
      </c>
      <c r="D13" s="31">
        <f>SUMIFS('原価明細'!$K$5:$K$1504,'原価明細'!$A$5:$A$1504,"&gt;="&amp;$M13,'原価明細'!$A$5:$A$1504,"&lt;"&amp;DATE(YEAR($M13),MONTH($M13)+1,1),'原価明細'!$D$5:$D$1504,"外注費")</f>
        <v/>
      </c>
      <c r="E13" s="31">
        <f>SUMIFS('原価明細'!$K$5:$K$1504,'原価明細'!$A$5:$A$1504,"&gt;="&amp;$M13,'原価明細'!$A$5:$A$1504,"&lt;"&amp;DATE(YEAR($M13),MONTH($M13)+1,1),'原価明細'!$D$5:$D$1504,"経費")</f>
        <v/>
      </c>
      <c r="F13" s="30">
        <f>SUM(B13:E13)</f>
        <v/>
      </c>
      <c r="G13" s="48">
        <f>COUNTIFS('案件別集計'!$X$13:$X$112,"&gt;="&amp;$M13,'案件別集計'!$X$13:$X$112,"&lt;"&amp;DATE(YEAR($M13),MONTH($M13)+1,1),'案件別集計'!$C$13:$C$112,"完了")</f>
        <v/>
      </c>
      <c r="H13" s="31">
        <f>SUMIFS('案件別集計'!$D$13:$D$112,'案件別集計'!$X$13:$X$112,"&gt;="&amp;$M13,'案件別集計'!$X$13:$X$112,"&lt;"&amp;DATE(YEAR($M13),MONTH($M13)+1,1),'案件別集計'!$C$13:$C$112,"完了")</f>
        <v/>
      </c>
      <c r="I13" s="31">
        <f>SUMIFS('案件別集計'!$F$13:$F$112,'案件別集計'!$X$13:$X$112,"&gt;="&amp;$M13,'案件別集計'!$X$13:$X$112,"&lt;"&amp;DATE(YEAR($M13),MONTH($M13)+1,1),'案件別集計'!$C$13:$C$112,"完了")</f>
        <v/>
      </c>
      <c r="J13" s="30">
        <f>SUMIFS('案件別集計'!$L$13:$L$112,'案件別集計'!$X$13:$X$112,"&gt;="&amp;$M13,'案件別集計'!$X$13:$X$112,"&lt;"&amp;DATE(YEAR($M13),MONTH($M13)+1,1),'案件別集計'!$C$13:$C$112,"完了")</f>
        <v/>
      </c>
      <c r="K13" s="32">
        <f>IF(H13&gt;0,J13/H13,"－")</f>
        <v/>
      </c>
      <c r="L13" s="82" t="n"/>
      <c r="M13" s="95">
        <f>DATE('設定'!$B$4,'設定'!$C$4+7,1)</f>
        <v/>
      </c>
      <c r="N13" s="91">
        <f>MONTH(M13)</f>
        <v/>
      </c>
    </row>
    <row r="14" ht="18" customHeight="1">
      <c r="A14" s="73">
        <f>YEAR(M14)&amp;"年"&amp;MONTH(M14)&amp;"月"</f>
        <v/>
      </c>
      <c r="B14" s="31">
        <f>SUMIFS('原価明細'!$K$5:$K$1504,'原価明細'!$A$5:$A$1504,"&gt;="&amp;$M14,'原価明細'!$A$5:$A$1504,"&lt;"&amp;DATE(YEAR($M14),MONTH($M14)+1,1),'原価明細'!$D$5:$D$1504,"材料費")</f>
        <v/>
      </c>
      <c r="C14" s="31">
        <f>SUMIFS('原価明細'!$K$5:$K$1504,'原価明細'!$A$5:$A$1504,"&gt;="&amp;$M14,'原価明細'!$A$5:$A$1504,"&lt;"&amp;DATE(YEAR($M14),MONTH($M14)+1,1),'原価明細'!$D$5:$D$1504,"労務費")</f>
        <v/>
      </c>
      <c r="D14" s="31">
        <f>SUMIFS('原価明細'!$K$5:$K$1504,'原価明細'!$A$5:$A$1504,"&gt;="&amp;$M14,'原価明細'!$A$5:$A$1504,"&lt;"&amp;DATE(YEAR($M14),MONTH($M14)+1,1),'原価明細'!$D$5:$D$1504,"外注費")</f>
        <v/>
      </c>
      <c r="E14" s="31">
        <f>SUMIFS('原価明細'!$K$5:$K$1504,'原価明細'!$A$5:$A$1504,"&gt;="&amp;$M14,'原価明細'!$A$5:$A$1504,"&lt;"&amp;DATE(YEAR($M14),MONTH($M14)+1,1),'原価明細'!$D$5:$D$1504,"経費")</f>
        <v/>
      </c>
      <c r="F14" s="30">
        <f>SUM(B14:E14)</f>
        <v/>
      </c>
      <c r="G14" s="48">
        <f>COUNTIFS('案件別集計'!$X$13:$X$112,"&gt;="&amp;$M14,'案件別集計'!$X$13:$X$112,"&lt;"&amp;DATE(YEAR($M14),MONTH($M14)+1,1),'案件別集計'!$C$13:$C$112,"完了")</f>
        <v/>
      </c>
      <c r="H14" s="31">
        <f>SUMIFS('案件別集計'!$D$13:$D$112,'案件別集計'!$X$13:$X$112,"&gt;="&amp;$M14,'案件別集計'!$X$13:$X$112,"&lt;"&amp;DATE(YEAR($M14),MONTH($M14)+1,1),'案件別集計'!$C$13:$C$112,"完了")</f>
        <v/>
      </c>
      <c r="I14" s="31">
        <f>SUMIFS('案件別集計'!$F$13:$F$112,'案件別集計'!$X$13:$X$112,"&gt;="&amp;$M14,'案件別集計'!$X$13:$X$112,"&lt;"&amp;DATE(YEAR($M14),MONTH($M14)+1,1),'案件別集計'!$C$13:$C$112,"完了")</f>
        <v/>
      </c>
      <c r="J14" s="30">
        <f>SUMIFS('案件別集計'!$L$13:$L$112,'案件別集計'!$X$13:$X$112,"&gt;="&amp;$M14,'案件別集計'!$X$13:$X$112,"&lt;"&amp;DATE(YEAR($M14),MONTH($M14)+1,1),'案件別集計'!$C$13:$C$112,"完了")</f>
        <v/>
      </c>
      <c r="K14" s="32">
        <f>IF(H14&gt;0,J14/H14,"－")</f>
        <v/>
      </c>
      <c r="L14" s="82" t="n"/>
      <c r="M14" s="95">
        <f>DATE('設定'!$B$4,'設定'!$C$4+8,1)</f>
        <v/>
      </c>
      <c r="N14" s="91">
        <f>MONTH(M14)</f>
        <v/>
      </c>
    </row>
    <row r="15" ht="18" customHeight="1">
      <c r="A15" s="73">
        <f>YEAR(M15)&amp;"年"&amp;MONTH(M15)&amp;"月"</f>
        <v/>
      </c>
      <c r="B15" s="31">
        <f>SUMIFS('原価明細'!$K$5:$K$1504,'原価明細'!$A$5:$A$1504,"&gt;="&amp;$M15,'原価明細'!$A$5:$A$1504,"&lt;"&amp;DATE(YEAR($M15),MONTH($M15)+1,1),'原価明細'!$D$5:$D$1504,"材料費")</f>
        <v/>
      </c>
      <c r="C15" s="31">
        <f>SUMIFS('原価明細'!$K$5:$K$1504,'原価明細'!$A$5:$A$1504,"&gt;="&amp;$M15,'原価明細'!$A$5:$A$1504,"&lt;"&amp;DATE(YEAR($M15),MONTH($M15)+1,1),'原価明細'!$D$5:$D$1504,"労務費")</f>
        <v/>
      </c>
      <c r="D15" s="31">
        <f>SUMIFS('原価明細'!$K$5:$K$1504,'原価明細'!$A$5:$A$1504,"&gt;="&amp;$M15,'原価明細'!$A$5:$A$1504,"&lt;"&amp;DATE(YEAR($M15),MONTH($M15)+1,1),'原価明細'!$D$5:$D$1504,"外注費")</f>
        <v/>
      </c>
      <c r="E15" s="31">
        <f>SUMIFS('原価明細'!$K$5:$K$1504,'原価明細'!$A$5:$A$1504,"&gt;="&amp;$M15,'原価明細'!$A$5:$A$1504,"&lt;"&amp;DATE(YEAR($M15),MONTH($M15)+1,1),'原価明細'!$D$5:$D$1504,"経費")</f>
        <v/>
      </c>
      <c r="F15" s="30">
        <f>SUM(B15:E15)</f>
        <v/>
      </c>
      <c r="G15" s="48">
        <f>COUNTIFS('案件別集計'!$X$13:$X$112,"&gt;="&amp;$M15,'案件別集計'!$X$13:$X$112,"&lt;"&amp;DATE(YEAR($M15),MONTH($M15)+1,1),'案件別集計'!$C$13:$C$112,"完了")</f>
        <v/>
      </c>
      <c r="H15" s="31">
        <f>SUMIFS('案件別集計'!$D$13:$D$112,'案件別集計'!$X$13:$X$112,"&gt;="&amp;$M15,'案件別集計'!$X$13:$X$112,"&lt;"&amp;DATE(YEAR($M15),MONTH($M15)+1,1),'案件別集計'!$C$13:$C$112,"完了")</f>
        <v/>
      </c>
      <c r="I15" s="31">
        <f>SUMIFS('案件別集計'!$F$13:$F$112,'案件別集計'!$X$13:$X$112,"&gt;="&amp;$M15,'案件別集計'!$X$13:$X$112,"&lt;"&amp;DATE(YEAR($M15),MONTH($M15)+1,1),'案件別集計'!$C$13:$C$112,"完了")</f>
        <v/>
      </c>
      <c r="J15" s="30">
        <f>SUMIFS('案件別集計'!$L$13:$L$112,'案件別集計'!$X$13:$X$112,"&gt;="&amp;$M15,'案件別集計'!$X$13:$X$112,"&lt;"&amp;DATE(YEAR($M15),MONTH($M15)+1,1),'案件別集計'!$C$13:$C$112,"完了")</f>
        <v/>
      </c>
      <c r="K15" s="32">
        <f>IF(H15&gt;0,J15/H15,"－")</f>
        <v/>
      </c>
      <c r="L15" s="82" t="n"/>
      <c r="M15" s="95">
        <f>DATE('設定'!$B$4,'設定'!$C$4+9,1)</f>
        <v/>
      </c>
      <c r="N15" s="91">
        <f>MONTH(M15)</f>
        <v/>
      </c>
    </row>
    <row r="16" ht="18" customHeight="1">
      <c r="A16" s="73">
        <f>YEAR(M16)&amp;"年"&amp;MONTH(M16)&amp;"月"</f>
        <v/>
      </c>
      <c r="B16" s="31">
        <f>SUMIFS('原価明細'!$K$5:$K$1504,'原価明細'!$A$5:$A$1504,"&gt;="&amp;$M16,'原価明細'!$A$5:$A$1504,"&lt;"&amp;DATE(YEAR($M16),MONTH($M16)+1,1),'原価明細'!$D$5:$D$1504,"材料費")</f>
        <v/>
      </c>
      <c r="C16" s="31">
        <f>SUMIFS('原価明細'!$K$5:$K$1504,'原価明細'!$A$5:$A$1504,"&gt;="&amp;$M16,'原価明細'!$A$5:$A$1504,"&lt;"&amp;DATE(YEAR($M16),MONTH($M16)+1,1),'原価明細'!$D$5:$D$1504,"労務費")</f>
        <v/>
      </c>
      <c r="D16" s="31">
        <f>SUMIFS('原価明細'!$K$5:$K$1504,'原価明細'!$A$5:$A$1504,"&gt;="&amp;$M16,'原価明細'!$A$5:$A$1504,"&lt;"&amp;DATE(YEAR($M16),MONTH($M16)+1,1),'原価明細'!$D$5:$D$1504,"外注費")</f>
        <v/>
      </c>
      <c r="E16" s="31">
        <f>SUMIFS('原価明細'!$K$5:$K$1504,'原価明細'!$A$5:$A$1504,"&gt;="&amp;$M16,'原価明細'!$A$5:$A$1504,"&lt;"&amp;DATE(YEAR($M16),MONTH($M16)+1,1),'原価明細'!$D$5:$D$1504,"経費")</f>
        <v/>
      </c>
      <c r="F16" s="30">
        <f>SUM(B16:E16)</f>
        <v/>
      </c>
      <c r="G16" s="48">
        <f>COUNTIFS('案件別集計'!$X$13:$X$112,"&gt;="&amp;$M16,'案件別集計'!$X$13:$X$112,"&lt;"&amp;DATE(YEAR($M16),MONTH($M16)+1,1),'案件別集計'!$C$13:$C$112,"完了")</f>
        <v/>
      </c>
      <c r="H16" s="31">
        <f>SUMIFS('案件別集計'!$D$13:$D$112,'案件別集計'!$X$13:$X$112,"&gt;="&amp;$M16,'案件別集計'!$X$13:$X$112,"&lt;"&amp;DATE(YEAR($M16),MONTH($M16)+1,1),'案件別集計'!$C$13:$C$112,"完了")</f>
        <v/>
      </c>
      <c r="I16" s="31">
        <f>SUMIFS('案件別集計'!$F$13:$F$112,'案件別集計'!$X$13:$X$112,"&gt;="&amp;$M16,'案件別集計'!$X$13:$X$112,"&lt;"&amp;DATE(YEAR($M16),MONTH($M16)+1,1),'案件別集計'!$C$13:$C$112,"完了")</f>
        <v/>
      </c>
      <c r="J16" s="30">
        <f>SUMIFS('案件別集計'!$L$13:$L$112,'案件別集計'!$X$13:$X$112,"&gt;="&amp;$M16,'案件別集計'!$X$13:$X$112,"&lt;"&amp;DATE(YEAR($M16),MONTH($M16)+1,1),'案件別集計'!$C$13:$C$112,"完了")</f>
        <v/>
      </c>
      <c r="K16" s="32">
        <f>IF(H16&gt;0,J16/H16,"－")</f>
        <v/>
      </c>
      <c r="L16" s="82" t="n"/>
      <c r="M16" s="95">
        <f>DATE('設定'!$B$4,'設定'!$C$4+10,1)</f>
        <v/>
      </c>
      <c r="N16" s="91">
        <f>MONTH(M16)</f>
        <v/>
      </c>
    </row>
    <row r="17" ht="18" customHeight="1">
      <c r="A17" s="73">
        <f>YEAR(M17)&amp;"年"&amp;MONTH(M17)&amp;"月"</f>
        <v/>
      </c>
      <c r="B17" s="31">
        <f>SUMIFS('原価明細'!$K$5:$K$1504,'原価明細'!$A$5:$A$1504,"&gt;="&amp;$M17,'原価明細'!$A$5:$A$1504,"&lt;"&amp;DATE(YEAR($M17),MONTH($M17)+1,1),'原価明細'!$D$5:$D$1504,"材料費")</f>
        <v/>
      </c>
      <c r="C17" s="31">
        <f>SUMIFS('原価明細'!$K$5:$K$1504,'原価明細'!$A$5:$A$1504,"&gt;="&amp;$M17,'原価明細'!$A$5:$A$1504,"&lt;"&amp;DATE(YEAR($M17),MONTH($M17)+1,1),'原価明細'!$D$5:$D$1504,"労務費")</f>
        <v/>
      </c>
      <c r="D17" s="31">
        <f>SUMIFS('原価明細'!$K$5:$K$1504,'原価明細'!$A$5:$A$1504,"&gt;="&amp;$M17,'原価明細'!$A$5:$A$1504,"&lt;"&amp;DATE(YEAR($M17),MONTH($M17)+1,1),'原価明細'!$D$5:$D$1504,"外注費")</f>
        <v/>
      </c>
      <c r="E17" s="31">
        <f>SUMIFS('原価明細'!$K$5:$K$1504,'原価明細'!$A$5:$A$1504,"&gt;="&amp;$M17,'原価明細'!$A$5:$A$1504,"&lt;"&amp;DATE(YEAR($M17),MONTH($M17)+1,1),'原価明細'!$D$5:$D$1504,"経費")</f>
        <v/>
      </c>
      <c r="F17" s="30">
        <f>SUM(B17:E17)</f>
        <v/>
      </c>
      <c r="G17" s="48">
        <f>COUNTIFS('案件別集計'!$X$13:$X$112,"&gt;="&amp;$M17,'案件別集計'!$X$13:$X$112,"&lt;"&amp;DATE(YEAR($M17),MONTH($M17)+1,1),'案件別集計'!$C$13:$C$112,"完了")</f>
        <v/>
      </c>
      <c r="H17" s="31">
        <f>SUMIFS('案件別集計'!$D$13:$D$112,'案件別集計'!$X$13:$X$112,"&gt;="&amp;$M17,'案件別集計'!$X$13:$X$112,"&lt;"&amp;DATE(YEAR($M17),MONTH($M17)+1,1),'案件別集計'!$C$13:$C$112,"完了")</f>
        <v/>
      </c>
      <c r="I17" s="31">
        <f>SUMIFS('案件別集計'!$F$13:$F$112,'案件別集計'!$X$13:$X$112,"&gt;="&amp;$M17,'案件別集計'!$X$13:$X$112,"&lt;"&amp;DATE(YEAR($M17),MONTH($M17)+1,1),'案件別集計'!$C$13:$C$112,"完了")</f>
        <v/>
      </c>
      <c r="J17" s="30">
        <f>SUMIFS('案件別集計'!$L$13:$L$112,'案件別集計'!$X$13:$X$112,"&gt;="&amp;$M17,'案件別集計'!$X$13:$X$112,"&lt;"&amp;DATE(YEAR($M17),MONTH($M17)+1,1),'案件別集計'!$C$13:$C$112,"完了")</f>
        <v/>
      </c>
      <c r="K17" s="32">
        <f>IF(H17&gt;0,J17/H17,"－")</f>
        <v/>
      </c>
      <c r="L17" s="82" t="n"/>
      <c r="M17" s="95">
        <f>DATE('設定'!$B$4,'設定'!$C$4+11,1)</f>
        <v/>
      </c>
      <c r="N17" s="91">
        <f>MONTH(M17)</f>
        <v/>
      </c>
    </row>
    <row r="18" ht="20" customHeight="1">
      <c r="A18" s="65" t="inlineStr">
        <is>
          <t>12か月の計</t>
        </is>
      </c>
      <c r="B18" s="30">
        <f>SUM(B6:B17)</f>
        <v/>
      </c>
      <c r="C18" s="30">
        <f>SUM(C6:C17)</f>
        <v/>
      </c>
      <c r="D18" s="30">
        <f>SUM(D6:D17)</f>
        <v/>
      </c>
      <c r="E18" s="30">
        <f>SUM(E6:E17)</f>
        <v/>
      </c>
      <c r="F18" s="30">
        <f>SUM(F6:F17)</f>
        <v/>
      </c>
      <c r="G18" s="44">
        <f>SUM(G6:G17)</f>
        <v/>
      </c>
      <c r="H18" s="30">
        <f>SUM(H6:H17)</f>
        <v/>
      </c>
      <c r="I18" s="30">
        <f>SUM(I6:I17)</f>
        <v/>
      </c>
      <c r="J18" s="30">
        <f>SUM(J6:J17)</f>
        <v/>
      </c>
      <c r="K18" s="46">
        <f>IF(H18&gt;0,J18/H18,"－")</f>
        <v/>
      </c>
      <c r="L18" s="82" t="n"/>
      <c r="M18" s="82" t="n"/>
      <c r="N18" s="82" t="n"/>
    </row>
    <row r="19" ht="18" customHeight="1">
      <c r="A19" s="85">
        <f>"12か月より前・後の日付の明細："&amp;TEXT(SUMIFS('原価明細'!$K$5:$K$1504,'原価明細'!$A$5:$A$1504,"&lt;"&amp;$M$6)+SUMIFS('原価明細'!$K$5:$K$1504,'原価明細'!$A$5:$A$1504,"&gt;="&amp;DATE(YEAR($M$17),MONTH($M$17)+1,1)),"#,##0")&amp;"円　日付のない明細："&amp;TEXT(SUM('原価明細'!$K$5:$K$1504)-SUMIFS('原価明細'!$K$5:$K$1504,'原価明細'!$A$5:$A$1504,"&gt;0"),"#,##0")&amp;"円　（どちらも上の表には入っていません）"</f>
        <v/>
      </c>
      <c r="B19" s="82" t="n"/>
      <c r="C19" s="82" t="n"/>
      <c r="D19" s="82" t="n"/>
      <c r="E19" s="82" t="n"/>
      <c r="F19" s="82" t="n"/>
      <c r="G19" s="82" t="n"/>
      <c r="H19" s="82" t="n"/>
      <c r="I19" s="82" t="n"/>
      <c r="J19" s="82" t="n"/>
      <c r="K19" s="82" t="n"/>
      <c r="L19" s="82" t="n"/>
      <c r="M19" s="82" t="n"/>
      <c r="N19" s="82" t="n"/>
    </row>
    <row r="20">
      <c r="A20" s="82" t="n"/>
      <c r="B20" s="82" t="n"/>
      <c r="C20" s="82" t="n"/>
      <c r="D20" s="82" t="n"/>
      <c r="E20" s="82" t="n"/>
      <c r="F20" s="82" t="n"/>
      <c r="G20" s="82" t="n"/>
      <c r="H20" s="82" t="n"/>
      <c r="I20" s="82" t="n"/>
      <c r="J20" s="82" t="n"/>
      <c r="K20" s="82" t="n"/>
      <c r="L20" s="82" t="n"/>
      <c r="M20" s="82" t="n"/>
      <c r="N20" s="82" t="n"/>
    </row>
    <row r="21" ht="20" customHeight="1">
      <c r="A21" s="89" t="inlineStr">
        <is>
          <t>グラフ（月別の原価・費目ごとの積み上げ）</t>
        </is>
      </c>
      <c r="B21" s="82" t="n"/>
      <c r="C21" s="82" t="n"/>
      <c r="D21" s="82" t="n"/>
      <c r="E21" s="82" t="n"/>
      <c r="F21" s="82" t="n"/>
      <c r="G21" s="82" t="n"/>
      <c r="H21" s="82" t="n"/>
      <c r="I21" s="82" t="n"/>
      <c r="J21" s="82" t="n"/>
      <c r="K21" s="82" t="n"/>
      <c r="L21" s="82" t="n"/>
      <c r="M21" s="82" t="n"/>
      <c r="N21" s="82" t="n"/>
    </row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</sheetData>
  <mergeCells count="7">
    <mergeCell ref="B4:F4"/>
    <mergeCell ref="A3:K3"/>
    <mergeCell ref="A21:K21"/>
    <mergeCell ref="A19:K19"/>
    <mergeCell ref="A2:K2"/>
    <mergeCell ref="A1:K1"/>
    <mergeCell ref="G4:K4"/>
  </mergeCells>
  <conditionalFormatting sqref="J6:J18">
    <cfRule type="expression" priority="1" dxfId="1">
      <formula>AND(ISNUMBER(J6),J6&lt;0)</formula>
    </cfRule>
  </conditionalFormatting>
  <printOptions horizontalCentered="1"/>
  <pageMargins left="0.4" right="0.4" top="0.45" bottom="0.45" header="0.2" footer="0.2"/>
  <pageSetup orientation="landscape" paperSize="9" fitToHeight="1" fitToWidth="1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tabColor rgb="00C9A227"/>
    <outlinePr summaryBelow="1" summaryRight="1"/>
    <pageSetUpPr fitToPage="1"/>
  </sheetPr>
  <dimension ref="A1:J204"/>
  <sheetViews>
    <sheetView showGridLines="0" tabSelected="0"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4" customWidth="1" min="1" max="1"/>
    <col width="11" customWidth="1" min="2" max="2"/>
    <col width="10" customWidth="1" min="3" max="3"/>
    <col width="7" customWidth="1" min="4" max="4"/>
    <col width="9" customWidth="1" min="5" max="5"/>
    <col width="10" customWidth="1" min="6" max="6"/>
    <col width="12" customWidth="1" min="7" max="7"/>
    <col width="18" customWidth="1" min="8" max="8"/>
    <col width="12" customWidth="1" min="9" max="9"/>
    <col width="30" customWidth="1" min="10" max="10"/>
  </cols>
  <sheetData>
    <row r="1" ht="26" customHeight="1">
      <c r="A1" s="81" t="inlineStr">
        <is>
          <t>食材の単価（仕入れ値から 1g・1ml・1個あたりの原価を出す）</t>
        </is>
      </c>
      <c r="B1" s="82" t="n"/>
      <c r="C1" s="82" t="n"/>
      <c r="D1" s="82" t="n"/>
      <c r="E1" s="82" t="n"/>
      <c r="F1" s="82" t="n"/>
      <c r="G1" s="82" t="n"/>
      <c r="H1" s="82" t="n"/>
      <c r="I1" s="82" t="n"/>
      <c r="J1" s="82" t="n"/>
    </row>
    <row r="2">
      <c r="A2" s="92">
        <f>IF(TRIM('設定'!$B$7)&lt;&gt;"",TRIM('設定'!$B$7),TRIM('設定'!$B$3))&amp;"　（飲食店のメニュー原価）"</f>
        <v/>
      </c>
      <c r="B2" s="82" t="n"/>
      <c r="C2" s="82" t="n"/>
      <c r="D2" s="82" t="n"/>
      <c r="E2" s="82" t="n"/>
      <c r="F2" s="82" t="n"/>
      <c r="G2" s="82" t="n"/>
      <c r="H2" s="82" t="n"/>
      <c r="I2" s="82" t="n"/>
      <c r="J2" s="82" t="n"/>
    </row>
    <row r="3" ht="30" customHeight="1">
      <c r="A3" s="85" t="inlineStr">
        <is>
          <t>仕入れた単位の価格と量を入れます（例: 鶏もも肉 2,000g で 1,780円）。皮・骨・芯などを捨てる食材は、使える割合を歩留まりに入れます（空欄は100%）。1単位あたりの原価＝仕入価格÷（仕入量×歩留まり）。売価と同じく、税込みか税抜きにそろえます。</t>
        </is>
      </c>
      <c r="B3" s="82" t="n"/>
      <c r="C3" s="82" t="n"/>
      <c r="D3" s="82" t="n"/>
      <c r="E3" s="82" t="n"/>
      <c r="F3" s="82" t="n"/>
      <c r="G3" s="82" t="n"/>
      <c r="H3" s="82" t="n"/>
      <c r="I3" s="82" t="n"/>
      <c r="J3" s="82" t="n"/>
    </row>
    <row r="4" ht="30" customHeight="1">
      <c r="A4" s="18" t="inlineStr">
        <is>
          <t>食材名</t>
        </is>
      </c>
      <c r="B4" s="18" t="inlineStr">
        <is>
          <t>仕入価格</t>
        </is>
      </c>
      <c r="C4" s="18" t="inlineStr">
        <is>
          <t>仕入量</t>
        </is>
      </c>
      <c r="D4" s="18" t="inlineStr">
        <is>
          <t>単位</t>
        </is>
      </c>
      <c r="E4" s="18" t="inlineStr">
        <is>
          <t>歩留まり</t>
        </is>
      </c>
      <c r="F4" s="26" t="inlineStr">
        <is>
          <t>使える量
（自動）</t>
        </is>
      </c>
      <c r="G4" s="26" t="inlineStr">
        <is>
          <t>1単位あたりの
原価（自動）</t>
        </is>
      </c>
      <c r="H4" s="18" t="inlineStr">
        <is>
          <t>仕入先</t>
        </is>
      </c>
      <c r="I4" s="18" t="inlineStr">
        <is>
          <t>価格を
確かめた日</t>
        </is>
      </c>
      <c r="J4" s="26" t="inlineStr">
        <is>
          <t>確認</t>
        </is>
      </c>
    </row>
    <row r="5" ht="16" customHeight="1">
      <c r="A5" s="38" t="n"/>
      <c r="B5" s="40" t="n"/>
      <c r="C5" s="39" t="n"/>
      <c r="D5" s="36" t="n"/>
      <c r="E5" s="74" t="n"/>
      <c r="F5" s="70">
        <f>IF(AND(ISNUMBER(C5),C5&gt;0),C5*IF(ISNUMBER(E5),E5,1),"")</f>
        <v/>
      </c>
      <c r="G5" s="75">
        <f>IF(AND(ISNUMBER(B5),ISNUMBER(F5)),IF(F5&gt;0,B5/F5,""),"")</f>
        <v/>
      </c>
      <c r="H5" s="33" t="n"/>
      <c r="I5" s="35" t="n"/>
      <c r="J5" s="34">
        <f>IF(TRIM(A5)="",IF(COUNTA(B5:E5,H5:I5)&gt;0,"食材名がありません",""),IF(COUNTIF($A$5:$A$204,A5)&gt;1,"同じ食材名があります",IF(NOT(ISNUMBER(B5)),"仕入価格がありません",IF(NOT(ISNUMBER(C5)),"仕入量がありません",IF(C5&lt;=0,"仕入量がありません",IF(AND(ISNUMBER(E5),OR(E5&lt;=0,E5&gt;1)),"歩留まりは1〜100%で入れます",IF(TRIM(D5)="","単位がありません（g・ml・個など）","")))))))</f>
        <v/>
      </c>
    </row>
    <row r="6" ht="16" customHeight="1">
      <c r="A6" s="38" t="n"/>
      <c r="B6" s="40" t="n"/>
      <c r="C6" s="39" t="n"/>
      <c r="D6" s="36" t="n"/>
      <c r="E6" s="74" t="n"/>
      <c r="F6" s="70">
        <f>IF(AND(ISNUMBER(C6),C6&gt;0),C6*IF(ISNUMBER(E6),E6,1),"")</f>
        <v/>
      </c>
      <c r="G6" s="75">
        <f>IF(AND(ISNUMBER(B6),ISNUMBER(F6)),IF(F6&gt;0,B6/F6,""),"")</f>
        <v/>
      </c>
      <c r="H6" s="33" t="n"/>
      <c r="I6" s="35" t="n"/>
      <c r="J6" s="34">
        <f>IF(TRIM(A6)="",IF(COUNTA(B6:E6,H6:I6)&gt;0,"食材名がありません",""),IF(COUNTIF($A$5:$A$204,A6)&gt;1,"同じ食材名があります",IF(NOT(ISNUMBER(B6)),"仕入価格がありません",IF(NOT(ISNUMBER(C6)),"仕入量がありません",IF(C6&lt;=0,"仕入量がありません",IF(AND(ISNUMBER(E6),OR(E6&lt;=0,E6&gt;1)),"歩留まりは1〜100%で入れます",IF(TRIM(D6)="","単位がありません（g・ml・個など）","")))))))</f>
        <v/>
      </c>
    </row>
    <row r="7" ht="16" customHeight="1">
      <c r="A7" s="38" t="n"/>
      <c r="B7" s="40" t="n"/>
      <c r="C7" s="39" t="n"/>
      <c r="D7" s="36" t="n"/>
      <c r="E7" s="74" t="n"/>
      <c r="F7" s="70">
        <f>IF(AND(ISNUMBER(C7),C7&gt;0),C7*IF(ISNUMBER(E7),E7,1),"")</f>
        <v/>
      </c>
      <c r="G7" s="75">
        <f>IF(AND(ISNUMBER(B7),ISNUMBER(F7)),IF(F7&gt;0,B7/F7,""),"")</f>
        <v/>
      </c>
      <c r="H7" s="33" t="n"/>
      <c r="I7" s="35" t="n"/>
      <c r="J7" s="34">
        <f>IF(TRIM(A7)="",IF(COUNTA(B7:E7,H7:I7)&gt;0,"食材名がありません",""),IF(COUNTIF($A$5:$A$204,A7)&gt;1,"同じ食材名があります",IF(NOT(ISNUMBER(B7)),"仕入価格がありません",IF(NOT(ISNUMBER(C7)),"仕入量がありません",IF(C7&lt;=0,"仕入量がありません",IF(AND(ISNUMBER(E7),OR(E7&lt;=0,E7&gt;1)),"歩留まりは1〜100%で入れます",IF(TRIM(D7)="","単位がありません（g・ml・個など）","")))))))</f>
        <v/>
      </c>
    </row>
    <row r="8" ht="16" customHeight="1">
      <c r="A8" s="38" t="n"/>
      <c r="B8" s="40" t="n"/>
      <c r="C8" s="39" t="n"/>
      <c r="D8" s="36" t="n"/>
      <c r="E8" s="74" t="n"/>
      <c r="F8" s="70">
        <f>IF(AND(ISNUMBER(C8),C8&gt;0),C8*IF(ISNUMBER(E8),E8,1),"")</f>
        <v/>
      </c>
      <c r="G8" s="75">
        <f>IF(AND(ISNUMBER(B8),ISNUMBER(F8)),IF(F8&gt;0,B8/F8,""),"")</f>
        <v/>
      </c>
      <c r="H8" s="33" t="n"/>
      <c r="I8" s="35" t="n"/>
      <c r="J8" s="34">
        <f>IF(TRIM(A8)="",IF(COUNTA(B8:E8,H8:I8)&gt;0,"食材名がありません",""),IF(COUNTIF($A$5:$A$204,A8)&gt;1,"同じ食材名があります",IF(NOT(ISNUMBER(B8)),"仕入価格がありません",IF(NOT(ISNUMBER(C8)),"仕入量がありません",IF(C8&lt;=0,"仕入量がありません",IF(AND(ISNUMBER(E8),OR(E8&lt;=0,E8&gt;1)),"歩留まりは1〜100%で入れます",IF(TRIM(D8)="","単位がありません（g・ml・個など）","")))))))</f>
        <v/>
      </c>
    </row>
    <row r="9" ht="16" customHeight="1">
      <c r="A9" s="38" t="n"/>
      <c r="B9" s="40" t="n"/>
      <c r="C9" s="39" t="n"/>
      <c r="D9" s="36" t="n"/>
      <c r="E9" s="74" t="n"/>
      <c r="F9" s="70">
        <f>IF(AND(ISNUMBER(C9),C9&gt;0),C9*IF(ISNUMBER(E9),E9,1),"")</f>
        <v/>
      </c>
      <c r="G9" s="75">
        <f>IF(AND(ISNUMBER(B9),ISNUMBER(F9)),IF(F9&gt;0,B9/F9,""),"")</f>
        <v/>
      </c>
      <c r="H9" s="33" t="n"/>
      <c r="I9" s="35" t="n"/>
      <c r="J9" s="34">
        <f>IF(TRIM(A9)="",IF(COUNTA(B9:E9,H9:I9)&gt;0,"食材名がありません",""),IF(COUNTIF($A$5:$A$204,A9)&gt;1,"同じ食材名があります",IF(NOT(ISNUMBER(B9)),"仕入価格がありません",IF(NOT(ISNUMBER(C9)),"仕入量がありません",IF(C9&lt;=0,"仕入量がありません",IF(AND(ISNUMBER(E9),OR(E9&lt;=0,E9&gt;1)),"歩留まりは1〜100%で入れます",IF(TRIM(D9)="","単位がありません（g・ml・個など）","")))))))</f>
        <v/>
      </c>
    </row>
    <row r="10" ht="16" customHeight="1">
      <c r="A10" s="38" t="n"/>
      <c r="B10" s="40" t="n"/>
      <c r="C10" s="39" t="n"/>
      <c r="D10" s="36" t="n"/>
      <c r="E10" s="74" t="n"/>
      <c r="F10" s="70">
        <f>IF(AND(ISNUMBER(C10),C10&gt;0),C10*IF(ISNUMBER(E10),E10,1),"")</f>
        <v/>
      </c>
      <c r="G10" s="75">
        <f>IF(AND(ISNUMBER(B10),ISNUMBER(F10)),IF(F10&gt;0,B10/F10,""),"")</f>
        <v/>
      </c>
      <c r="H10" s="33" t="n"/>
      <c r="I10" s="35" t="n"/>
      <c r="J10" s="34">
        <f>IF(TRIM(A10)="",IF(COUNTA(B10:E10,H10:I10)&gt;0,"食材名がありません",""),IF(COUNTIF($A$5:$A$204,A10)&gt;1,"同じ食材名があります",IF(NOT(ISNUMBER(B10)),"仕入価格がありません",IF(NOT(ISNUMBER(C10)),"仕入量がありません",IF(C10&lt;=0,"仕入量がありません",IF(AND(ISNUMBER(E10),OR(E10&lt;=0,E10&gt;1)),"歩留まりは1〜100%で入れます",IF(TRIM(D10)="","単位がありません（g・ml・個など）","")))))))</f>
        <v/>
      </c>
    </row>
    <row r="11" ht="16" customHeight="1">
      <c r="A11" s="38" t="n"/>
      <c r="B11" s="40" t="n"/>
      <c r="C11" s="39" t="n"/>
      <c r="D11" s="36" t="n"/>
      <c r="E11" s="74" t="n"/>
      <c r="F11" s="70">
        <f>IF(AND(ISNUMBER(C11),C11&gt;0),C11*IF(ISNUMBER(E11),E11,1),"")</f>
        <v/>
      </c>
      <c r="G11" s="75">
        <f>IF(AND(ISNUMBER(B11),ISNUMBER(F11)),IF(F11&gt;0,B11/F11,""),"")</f>
        <v/>
      </c>
      <c r="H11" s="33" t="n"/>
      <c r="I11" s="35" t="n"/>
      <c r="J11" s="34">
        <f>IF(TRIM(A11)="",IF(COUNTA(B11:E11,H11:I11)&gt;0,"食材名がありません",""),IF(COUNTIF($A$5:$A$204,A11)&gt;1,"同じ食材名があります",IF(NOT(ISNUMBER(B11)),"仕入価格がありません",IF(NOT(ISNUMBER(C11)),"仕入量がありません",IF(C11&lt;=0,"仕入量がありません",IF(AND(ISNUMBER(E11),OR(E11&lt;=0,E11&gt;1)),"歩留まりは1〜100%で入れます",IF(TRIM(D11)="","単位がありません（g・ml・個など）","")))))))</f>
        <v/>
      </c>
    </row>
    <row r="12" ht="16" customHeight="1">
      <c r="A12" s="38" t="n"/>
      <c r="B12" s="40" t="n"/>
      <c r="C12" s="39" t="n"/>
      <c r="D12" s="36" t="n"/>
      <c r="E12" s="74" t="n"/>
      <c r="F12" s="70">
        <f>IF(AND(ISNUMBER(C12),C12&gt;0),C12*IF(ISNUMBER(E12),E12,1),"")</f>
        <v/>
      </c>
      <c r="G12" s="75">
        <f>IF(AND(ISNUMBER(B12),ISNUMBER(F12)),IF(F12&gt;0,B12/F12,""),"")</f>
        <v/>
      </c>
      <c r="H12" s="33" t="n"/>
      <c r="I12" s="35" t="n"/>
      <c r="J12" s="34">
        <f>IF(TRIM(A12)="",IF(COUNTA(B12:E12,H12:I12)&gt;0,"食材名がありません",""),IF(COUNTIF($A$5:$A$204,A12)&gt;1,"同じ食材名があります",IF(NOT(ISNUMBER(B12)),"仕入価格がありません",IF(NOT(ISNUMBER(C12)),"仕入量がありません",IF(C12&lt;=0,"仕入量がありません",IF(AND(ISNUMBER(E12),OR(E12&lt;=0,E12&gt;1)),"歩留まりは1〜100%で入れます",IF(TRIM(D12)="","単位がありません（g・ml・個など）","")))))))</f>
        <v/>
      </c>
    </row>
    <row r="13" ht="16" customHeight="1">
      <c r="A13" s="38" t="n"/>
      <c r="B13" s="40" t="n"/>
      <c r="C13" s="39" t="n"/>
      <c r="D13" s="36" t="n"/>
      <c r="E13" s="74" t="n"/>
      <c r="F13" s="70">
        <f>IF(AND(ISNUMBER(C13),C13&gt;0),C13*IF(ISNUMBER(E13),E13,1),"")</f>
        <v/>
      </c>
      <c r="G13" s="75">
        <f>IF(AND(ISNUMBER(B13),ISNUMBER(F13)),IF(F13&gt;0,B13/F13,""),"")</f>
        <v/>
      </c>
      <c r="H13" s="33" t="n"/>
      <c r="I13" s="35" t="n"/>
      <c r="J13" s="34">
        <f>IF(TRIM(A13)="",IF(COUNTA(B13:E13,H13:I13)&gt;0,"食材名がありません",""),IF(COUNTIF($A$5:$A$204,A13)&gt;1,"同じ食材名があります",IF(NOT(ISNUMBER(B13)),"仕入価格がありません",IF(NOT(ISNUMBER(C13)),"仕入量がありません",IF(C13&lt;=0,"仕入量がありません",IF(AND(ISNUMBER(E13),OR(E13&lt;=0,E13&gt;1)),"歩留まりは1〜100%で入れます",IF(TRIM(D13)="","単位がありません（g・ml・個など）","")))))))</f>
        <v/>
      </c>
    </row>
    <row r="14" ht="16" customHeight="1">
      <c r="A14" s="38" t="n"/>
      <c r="B14" s="40" t="n"/>
      <c r="C14" s="39" t="n"/>
      <c r="D14" s="36" t="n"/>
      <c r="E14" s="74" t="n"/>
      <c r="F14" s="70">
        <f>IF(AND(ISNUMBER(C14),C14&gt;0),C14*IF(ISNUMBER(E14),E14,1),"")</f>
        <v/>
      </c>
      <c r="G14" s="75">
        <f>IF(AND(ISNUMBER(B14),ISNUMBER(F14)),IF(F14&gt;0,B14/F14,""),"")</f>
        <v/>
      </c>
      <c r="H14" s="33" t="n"/>
      <c r="I14" s="35" t="n"/>
      <c r="J14" s="34">
        <f>IF(TRIM(A14)="",IF(COUNTA(B14:E14,H14:I14)&gt;0,"食材名がありません",""),IF(COUNTIF($A$5:$A$204,A14)&gt;1,"同じ食材名があります",IF(NOT(ISNUMBER(B14)),"仕入価格がありません",IF(NOT(ISNUMBER(C14)),"仕入量がありません",IF(C14&lt;=0,"仕入量がありません",IF(AND(ISNUMBER(E14),OR(E14&lt;=0,E14&gt;1)),"歩留まりは1〜100%で入れます",IF(TRIM(D14)="","単位がありません（g・ml・個など）","")))))))</f>
        <v/>
      </c>
    </row>
    <row r="15" ht="16" customHeight="1">
      <c r="A15" s="38" t="n"/>
      <c r="B15" s="40" t="n"/>
      <c r="C15" s="39" t="n"/>
      <c r="D15" s="36" t="n"/>
      <c r="E15" s="74" t="n"/>
      <c r="F15" s="70">
        <f>IF(AND(ISNUMBER(C15),C15&gt;0),C15*IF(ISNUMBER(E15),E15,1),"")</f>
        <v/>
      </c>
      <c r="G15" s="75">
        <f>IF(AND(ISNUMBER(B15),ISNUMBER(F15)),IF(F15&gt;0,B15/F15,""),"")</f>
        <v/>
      </c>
      <c r="H15" s="33" t="n"/>
      <c r="I15" s="35" t="n"/>
      <c r="J15" s="34">
        <f>IF(TRIM(A15)="",IF(COUNTA(B15:E15,H15:I15)&gt;0,"食材名がありません",""),IF(COUNTIF($A$5:$A$204,A15)&gt;1,"同じ食材名があります",IF(NOT(ISNUMBER(B15)),"仕入価格がありません",IF(NOT(ISNUMBER(C15)),"仕入量がありません",IF(C15&lt;=0,"仕入量がありません",IF(AND(ISNUMBER(E15),OR(E15&lt;=0,E15&gt;1)),"歩留まりは1〜100%で入れます",IF(TRIM(D15)="","単位がありません（g・ml・個など）","")))))))</f>
        <v/>
      </c>
    </row>
    <row r="16" ht="16" customHeight="1">
      <c r="A16" s="38" t="n"/>
      <c r="B16" s="40" t="n"/>
      <c r="C16" s="39" t="n"/>
      <c r="D16" s="36" t="n"/>
      <c r="E16" s="74" t="n"/>
      <c r="F16" s="70">
        <f>IF(AND(ISNUMBER(C16),C16&gt;0),C16*IF(ISNUMBER(E16),E16,1),"")</f>
        <v/>
      </c>
      <c r="G16" s="75">
        <f>IF(AND(ISNUMBER(B16),ISNUMBER(F16)),IF(F16&gt;0,B16/F16,""),"")</f>
        <v/>
      </c>
      <c r="H16" s="33" t="n"/>
      <c r="I16" s="35" t="n"/>
      <c r="J16" s="34">
        <f>IF(TRIM(A16)="",IF(COUNTA(B16:E16,H16:I16)&gt;0,"食材名がありません",""),IF(COUNTIF($A$5:$A$204,A16)&gt;1,"同じ食材名があります",IF(NOT(ISNUMBER(B16)),"仕入価格がありません",IF(NOT(ISNUMBER(C16)),"仕入量がありません",IF(C16&lt;=0,"仕入量がありません",IF(AND(ISNUMBER(E16),OR(E16&lt;=0,E16&gt;1)),"歩留まりは1〜100%で入れます",IF(TRIM(D16)="","単位がありません（g・ml・個など）","")))))))</f>
        <v/>
      </c>
    </row>
    <row r="17" ht="16" customHeight="1">
      <c r="A17" s="38" t="n"/>
      <c r="B17" s="40" t="n"/>
      <c r="C17" s="39" t="n"/>
      <c r="D17" s="36" t="n"/>
      <c r="E17" s="74" t="n"/>
      <c r="F17" s="70">
        <f>IF(AND(ISNUMBER(C17),C17&gt;0),C17*IF(ISNUMBER(E17),E17,1),"")</f>
        <v/>
      </c>
      <c r="G17" s="75">
        <f>IF(AND(ISNUMBER(B17),ISNUMBER(F17)),IF(F17&gt;0,B17/F17,""),"")</f>
        <v/>
      </c>
      <c r="H17" s="33" t="n"/>
      <c r="I17" s="35" t="n"/>
      <c r="J17" s="34">
        <f>IF(TRIM(A17)="",IF(COUNTA(B17:E17,H17:I17)&gt;0,"食材名がありません",""),IF(COUNTIF($A$5:$A$204,A17)&gt;1,"同じ食材名があります",IF(NOT(ISNUMBER(B17)),"仕入価格がありません",IF(NOT(ISNUMBER(C17)),"仕入量がありません",IF(C17&lt;=0,"仕入量がありません",IF(AND(ISNUMBER(E17),OR(E17&lt;=0,E17&gt;1)),"歩留まりは1〜100%で入れます",IF(TRIM(D17)="","単位がありません（g・ml・個など）","")))))))</f>
        <v/>
      </c>
    </row>
    <row r="18" ht="16" customHeight="1">
      <c r="A18" s="38" t="n"/>
      <c r="B18" s="40" t="n"/>
      <c r="C18" s="39" t="n"/>
      <c r="D18" s="36" t="n"/>
      <c r="E18" s="74" t="n"/>
      <c r="F18" s="70">
        <f>IF(AND(ISNUMBER(C18),C18&gt;0),C18*IF(ISNUMBER(E18),E18,1),"")</f>
        <v/>
      </c>
      <c r="G18" s="75">
        <f>IF(AND(ISNUMBER(B18),ISNUMBER(F18)),IF(F18&gt;0,B18/F18,""),"")</f>
        <v/>
      </c>
      <c r="H18" s="33" t="n"/>
      <c r="I18" s="35" t="n"/>
      <c r="J18" s="34">
        <f>IF(TRIM(A18)="",IF(COUNTA(B18:E18,H18:I18)&gt;0,"食材名がありません",""),IF(COUNTIF($A$5:$A$204,A18)&gt;1,"同じ食材名があります",IF(NOT(ISNUMBER(B18)),"仕入価格がありません",IF(NOT(ISNUMBER(C18)),"仕入量がありません",IF(C18&lt;=0,"仕入量がありません",IF(AND(ISNUMBER(E18),OR(E18&lt;=0,E18&gt;1)),"歩留まりは1〜100%で入れます",IF(TRIM(D18)="","単位がありません（g・ml・個など）","")))))))</f>
        <v/>
      </c>
    </row>
    <row r="19" ht="16" customHeight="1">
      <c r="A19" s="38" t="n"/>
      <c r="B19" s="40" t="n"/>
      <c r="C19" s="39" t="n"/>
      <c r="D19" s="36" t="n"/>
      <c r="E19" s="74" t="n"/>
      <c r="F19" s="70">
        <f>IF(AND(ISNUMBER(C19),C19&gt;0),C19*IF(ISNUMBER(E19),E19,1),"")</f>
        <v/>
      </c>
      <c r="G19" s="75">
        <f>IF(AND(ISNUMBER(B19),ISNUMBER(F19)),IF(F19&gt;0,B19/F19,""),"")</f>
        <v/>
      </c>
      <c r="H19" s="33" t="n"/>
      <c r="I19" s="35" t="n"/>
      <c r="J19" s="34">
        <f>IF(TRIM(A19)="",IF(COUNTA(B19:E19,H19:I19)&gt;0,"食材名がありません",""),IF(COUNTIF($A$5:$A$204,A19)&gt;1,"同じ食材名があります",IF(NOT(ISNUMBER(B19)),"仕入価格がありません",IF(NOT(ISNUMBER(C19)),"仕入量がありません",IF(C19&lt;=0,"仕入量がありません",IF(AND(ISNUMBER(E19),OR(E19&lt;=0,E19&gt;1)),"歩留まりは1〜100%で入れます",IF(TRIM(D19)="","単位がありません（g・ml・個など）","")))))))</f>
        <v/>
      </c>
    </row>
    <row r="20" ht="16" customHeight="1">
      <c r="A20" s="38" t="n"/>
      <c r="B20" s="40" t="n"/>
      <c r="C20" s="39" t="n"/>
      <c r="D20" s="36" t="n"/>
      <c r="E20" s="74" t="n"/>
      <c r="F20" s="70">
        <f>IF(AND(ISNUMBER(C20),C20&gt;0),C20*IF(ISNUMBER(E20),E20,1),"")</f>
        <v/>
      </c>
      <c r="G20" s="75">
        <f>IF(AND(ISNUMBER(B20),ISNUMBER(F20)),IF(F20&gt;0,B20/F20,""),"")</f>
        <v/>
      </c>
      <c r="H20" s="33" t="n"/>
      <c r="I20" s="35" t="n"/>
      <c r="J20" s="34">
        <f>IF(TRIM(A20)="",IF(COUNTA(B20:E20,H20:I20)&gt;0,"食材名がありません",""),IF(COUNTIF($A$5:$A$204,A20)&gt;1,"同じ食材名があります",IF(NOT(ISNUMBER(B20)),"仕入価格がありません",IF(NOT(ISNUMBER(C20)),"仕入量がありません",IF(C20&lt;=0,"仕入量がありません",IF(AND(ISNUMBER(E20),OR(E20&lt;=0,E20&gt;1)),"歩留まりは1〜100%で入れます",IF(TRIM(D20)="","単位がありません（g・ml・個など）","")))))))</f>
        <v/>
      </c>
    </row>
    <row r="21" ht="16" customHeight="1">
      <c r="A21" s="38" t="n"/>
      <c r="B21" s="40" t="n"/>
      <c r="C21" s="39" t="n"/>
      <c r="D21" s="36" t="n"/>
      <c r="E21" s="74" t="n"/>
      <c r="F21" s="70">
        <f>IF(AND(ISNUMBER(C21),C21&gt;0),C21*IF(ISNUMBER(E21),E21,1),"")</f>
        <v/>
      </c>
      <c r="G21" s="75">
        <f>IF(AND(ISNUMBER(B21),ISNUMBER(F21)),IF(F21&gt;0,B21/F21,""),"")</f>
        <v/>
      </c>
      <c r="H21" s="33" t="n"/>
      <c r="I21" s="35" t="n"/>
      <c r="J21" s="34">
        <f>IF(TRIM(A21)="",IF(COUNTA(B21:E21,H21:I21)&gt;0,"食材名がありません",""),IF(COUNTIF($A$5:$A$204,A21)&gt;1,"同じ食材名があります",IF(NOT(ISNUMBER(B21)),"仕入価格がありません",IF(NOT(ISNUMBER(C21)),"仕入量がありません",IF(C21&lt;=0,"仕入量がありません",IF(AND(ISNUMBER(E21),OR(E21&lt;=0,E21&gt;1)),"歩留まりは1〜100%で入れます",IF(TRIM(D21)="","単位がありません（g・ml・個など）","")))))))</f>
        <v/>
      </c>
    </row>
    <row r="22" ht="16" customHeight="1">
      <c r="A22" s="38" t="n"/>
      <c r="B22" s="40" t="n"/>
      <c r="C22" s="39" t="n"/>
      <c r="D22" s="36" t="n"/>
      <c r="E22" s="74" t="n"/>
      <c r="F22" s="70">
        <f>IF(AND(ISNUMBER(C22),C22&gt;0),C22*IF(ISNUMBER(E22),E22,1),"")</f>
        <v/>
      </c>
      <c r="G22" s="75">
        <f>IF(AND(ISNUMBER(B22),ISNUMBER(F22)),IF(F22&gt;0,B22/F22,""),"")</f>
        <v/>
      </c>
      <c r="H22" s="33" t="n"/>
      <c r="I22" s="35" t="n"/>
      <c r="J22" s="34">
        <f>IF(TRIM(A22)="",IF(COUNTA(B22:E22,H22:I22)&gt;0,"食材名がありません",""),IF(COUNTIF($A$5:$A$204,A22)&gt;1,"同じ食材名があります",IF(NOT(ISNUMBER(B22)),"仕入価格がありません",IF(NOT(ISNUMBER(C22)),"仕入量がありません",IF(C22&lt;=0,"仕入量がありません",IF(AND(ISNUMBER(E22),OR(E22&lt;=0,E22&gt;1)),"歩留まりは1〜100%で入れます",IF(TRIM(D22)="","単位がありません（g・ml・個など）","")))))))</f>
        <v/>
      </c>
    </row>
    <row r="23" ht="16" customHeight="1">
      <c r="A23" s="38" t="n"/>
      <c r="B23" s="40" t="n"/>
      <c r="C23" s="39" t="n"/>
      <c r="D23" s="36" t="n"/>
      <c r="E23" s="74" t="n"/>
      <c r="F23" s="70">
        <f>IF(AND(ISNUMBER(C23),C23&gt;0),C23*IF(ISNUMBER(E23),E23,1),"")</f>
        <v/>
      </c>
      <c r="G23" s="75">
        <f>IF(AND(ISNUMBER(B23),ISNUMBER(F23)),IF(F23&gt;0,B23/F23,""),"")</f>
        <v/>
      </c>
      <c r="H23" s="33" t="n"/>
      <c r="I23" s="35" t="n"/>
      <c r="J23" s="34">
        <f>IF(TRIM(A23)="",IF(COUNTA(B23:E23,H23:I23)&gt;0,"食材名がありません",""),IF(COUNTIF($A$5:$A$204,A23)&gt;1,"同じ食材名があります",IF(NOT(ISNUMBER(B23)),"仕入価格がありません",IF(NOT(ISNUMBER(C23)),"仕入量がありません",IF(C23&lt;=0,"仕入量がありません",IF(AND(ISNUMBER(E23),OR(E23&lt;=0,E23&gt;1)),"歩留まりは1〜100%で入れます",IF(TRIM(D23)="","単位がありません（g・ml・個など）","")))))))</f>
        <v/>
      </c>
    </row>
    <row r="24" ht="16" customHeight="1">
      <c r="A24" s="38" t="n"/>
      <c r="B24" s="40" t="n"/>
      <c r="C24" s="39" t="n"/>
      <c r="D24" s="36" t="n"/>
      <c r="E24" s="74" t="n"/>
      <c r="F24" s="70">
        <f>IF(AND(ISNUMBER(C24),C24&gt;0),C24*IF(ISNUMBER(E24),E24,1),"")</f>
        <v/>
      </c>
      <c r="G24" s="75">
        <f>IF(AND(ISNUMBER(B24),ISNUMBER(F24)),IF(F24&gt;0,B24/F24,""),"")</f>
        <v/>
      </c>
      <c r="H24" s="33" t="n"/>
      <c r="I24" s="35" t="n"/>
      <c r="J24" s="34">
        <f>IF(TRIM(A24)="",IF(COUNTA(B24:E24,H24:I24)&gt;0,"食材名がありません",""),IF(COUNTIF($A$5:$A$204,A24)&gt;1,"同じ食材名があります",IF(NOT(ISNUMBER(B24)),"仕入価格がありません",IF(NOT(ISNUMBER(C24)),"仕入量がありません",IF(C24&lt;=0,"仕入量がありません",IF(AND(ISNUMBER(E24),OR(E24&lt;=0,E24&gt;1)),"歩留まりは1〜100%で入れます",IF(TRIM(D24)="","単位がありません（g・ml・個など）","")))))))</f>
        <v/>
      </c>
    </row>
    <row r="25" ht="16" customHeight="1">
      <c r="A25" s="38" t="n"/>
      <c r="B25" s="40" t="n"/>
      <c r="C25" s="39" t="n"/>
      <c r="D25" s="36" t="n"/>
      <c r="E25" s="74" t="n"/>
      <c r="F25" s="70">
        <f>IF(AND(ISNUMBER(C25),C25&gt;0),C25*IF(ISNUMBER(E25),E25,1),"")</f>
        <v/>
      </c>
      <c r="G25" s="75">
        <f>IF(AND(ISNUMBER(B25),ISNUMBER(F25)),IF(F25&gt;0,B25/F25,""),"")</f>
        <v/>
      </c>
      <c r="H25" s="33" t="n"/>
      <c r="I25" s="35" t="n"/>
      <c r="J25" s="34">
        <f>IF(TRIM(A25)="",IF(COUNTA(B25:E25,H25:I25)&gt;0,"食材名がありません",""),IF(COUNTIF($A$5:$A$204,A25)&gt;1,"同じ食材名があります",IF(NOT(ISNUMBER(B25)),"仕入価格がありません",IF(NOT(ISNUMBER(C25)),"仕入量がありません",IF(C25&lt;=0,"仕入量がありません",IF(AND(ISNUMBER(E25),OR(E25&lt;=0,E25&gt;1)),"歩留まりは1〜100%で入れます",IF(TRIM(D25)="","単位がありません（g・ml・個など）","")))))))</f>
        <v/>
      </c>
    </row>
    <row r="26" ht="16" customHeight="1">
      <c r="A26" s="38" t="n"/>
      <c r="B26" s="40" t="n"/>
      <c r="C26" s="39" t="n"/>
      <c r="D26" s="36" t="n"/>
      <c r="E26" s="74" t="n"/>
      <c r="F26" s="70">
        <f>IF(AND(ISNUMBER(C26),C26&gt;0),C26*IF(ISNUMBER(E26),E26,1),"")</f>
        <v/>
      </c>
      <c r="G26" s="75">
        <f>IF(AND(ISNUMBER(B26),ISNUMBER(F26)),IF(F26&gt;0,B26/F26,""),"")</f>
        <v/>
      </c>
      <c r="H26" s="33" t="n"/>
      <c r="I26" s="35" t="n"/>
      <c r="J26" s="34">
        <f>IF(TRIM(A26)="",IF(COUNTA(B26:E26,H26:I26)&gt;0,"食材名がありません",""),IF(COUNTIF($A$5:$A$204,A26)&gt;1,"同じ食材名があります",IF(NOT(ISNUMBER(B26)),"仕入価格がありません",IF(NOT(ISNUMBER(C26)),"仕入量がありません",IF(C26&lt;=0,"仕入量がありません",IF(AND(ISNUMBER(E26),OR(E26&lt;=0,E26&gt;1)),"歩留まりは1〜100%で入れます",IF(TRIM(D26)="","単位がありません（g・ml・個など）","")))))))</f>
        <v/>
      </c>
    </row>
    <row r="27" ht="16" customHeight="1">
      <c r="A27" s="38" t="n"/>
      <c r="B27" s="40" t="n"/>
      <c r="C27" s="39" t="n"/>
      <c r="D27" s="36" t="n"/>
      <c r="E27" s="74" t="n"/>
      <c r="F27" s="70">
        <f>IF(AND(ISNUMBER(C27),C27&gt;0),C27*IF(ISNUMBER(E27),E27,1),"")</f>
        <v/>
      </c>
      <c r="G27" s="75">
        <f>IF(AND(ISNUMBER(B27),ISNUMBER(F27)),IF(F27&gt;0,B27/F27,""),"")</f>
        <v/>
      </c>
      <c r="H27" s="33" t="n"/>
      <c r="I27" s="35" t="n"/>
      <c r="J27" s="34">
        <f>IF(TRIM(A27)="",IF(COUNTA(B27:E27,H27:I27)&gt;0,"食材名がありません",""),IF(COUNTIF($A$5:$A$204,A27)&gt;1,"同じ食材名があります",IF(NOT(ISNUMBER(B27)),"仕入価格がありません",IF(NOT(ISNUMBER(C27)),"仕入量がありません",IF(C27&lt;=0,"仕入量がありません",IF(AND(ISNUMBER(E27),OR(E27&lt;=0,E27&gt;1)),"歩留まりは1〜100%で入れます",IF(TRIM(D27)="","単位がありません（g・ml・個など）","")))))))</f>
        <v/>
      </c>
    </row>
    <row r="28" ht="16" customHeight="1">
      <c r="A28" s="38" t="n"/>
      <c r="B28" s="40" t="n"/>
      <c r="C28" s="39" t="n"/>
      <c r="D28" s="36" t="n"/>
      <c r="E28" s="74" t="n"/>
      <c r="F28" s="70">
        <f>IF(AND(ISNUMBER(C28),C28&gt;0),C28*IF(ISNUMBER(E28),E28,1),"")</f>
        <v/>
      </c>
      <c r="G28" s="75">
        <f>IF(AND(ISNUMBER(B28),ISNUMBER(F28)),IF(F28&gt;0,B28/F28,""),"")</f>
        <v/>
      </c>
      <c r="H28" s="33" t="n"/>
      <c r="I28" s="35" t="n"/>
      <c r="J28" s="34">
        <f>IF(TRIM(A28)="",IF(COUNTA(B28:E28,H28:I28)&gt;0,"食材名がありません",""),IF(COUNTIF($A$5:$A$204,A28)&gt;1,"同じ食材名があります",IF(NOT(ISNUMBER(B28)),"仕入価格がありません",IF(NOT(ISNUMBER(C28)),"仕入量がありません",IF(C28&lt;=0,"仕入量がありません",IF(AND(ISNUMBER(E28),OR(E28&lt;=0,E28&gt;1)),"歩留まりは1〜100%で入れます",IF(TRIM(D28)="","単位がありません（g・ml・個など）","")))))))</f>
        <v/>
      </c>
    </row>
    <row r="29" ht="16" customHeight="1">
      <c r="A29" s="38" t="n"/>
      <c r="B29" s="40" t="n"/>
      <c r="C29" s="39" t="n"/>
      <c r="D29" s="36" t="n"/>
      <c r="E29" s="74" t="n"/>
      <c r="F29" s="70">
        <f>IF(AND(ISNUMBER(C29),C29&gt;0),C29*IF(ISNUMBER(E29),E29,1),"")</f>
        <v/>
      </c>
      <c r="G29" s="75">
        <f>IF(AND(ISNUMBER(B29),ISNUMBER(F29)),IF(F29&gt;0,B29/F29,""),"")</f>
        <v/>
      </c>
      <c r="H29" s="33" t="n"/>
      <c r="I29" s="35" t="n"/>
      <c r="J29" s="34">
        <f>IF(TRIM(A29)="",IF(COUNTA(B29:E29,H29:I29)&gt;0,"食材名がありません",""),IF(COUNTIF($A$5:$A$204,A29)&gt;1,"同じ食材名があります",IF(NOT(ISNUMBER(B29)),"仕入価格がありません",IF(NOT(ISNUMBER(C29)),"仕入量がありません",IF(C29&lt;=0,"仕入量がありません",IF(AND(ISNUMBER(E29),OR(E29&lt;=0,E29&gt;1)),"歩留まりは1〜100%で入れます",IF(TRIM(D29)="","単位がありません（g・ml・個など）","")))))))</f>
        <v/>
      </c>
    </row>
    <row r="30" ht="16" customHeight="1">
      <c r="A30" s="38" t="n"/>
      <c r="B30" s="40" t="n"/>
      <c r="C30" s="39" t="n"/>
      <c r="D30" s="36" t="n"/>
      <c r="E30" s="74" t="n"/>
      <c r="F30" s="70">
        <f>IF(AND(ISNUMBER(C30),C30&gt;0),C30*IF(ISNUMBER(E30),E30,1),"")</f>
        <v/>
      </c>
      <c r="G30" s="75">
        <f>IF(AND(ISNUMBER(B30),ISNUMBER(F30)),IF(F30&gt;0,B30/F30,""),"")</f>
        <v/>
      </c>
      <c r="H30" s="33" t="n"/>
      <c r="I30" s="35" t="n"/>
      <c r="J30" s="34">
        <f>IF(TRIM(A30)="",IF(COUNTA(B30:E30,H30:I30)&gt;0,"食材名がありません",""),IF(COUNTIF($A$5:$A$204,A30)&gt;1,"同じ食材名があります",IF(NOT(ISNUMBER(B30)),"仕入価格がありません",IF(NOT(ISNUMBER(C30)),"仕入量がありません",IF(C30&lt;=0,"仕入量がありません",IF(AND(ISNUMBER(E30),OR(E30&lt;=0,E30&gt;1)),"歩留まりは1〜100%で入れます",IF(TRIM(D30)="","単位がありません（g・ml・個など）","")))))))</f>
        <v/>
      </c>
    </row>
    <row r="31" ht="16" customHeight="1">
      <c r="A31" s="38" t="n"/>
      <c r="B31" s="40" t="n"/>
      <c r="C31" s="39" t="n"/>
      <c r="D31" s="36" t="n"/>
      <c r="E31" s="74" t="n"/>
      <c r="F31" s="70">
        <f>IF(AND(ISNUMBER(C31),C31&gt;0),C31*IF(ISNUMBER(E31),E31,1),"")</f>
        <v/>
      </c>
      <c r="G31" s="75">
        <f>IF(AND(ISNUMBER(B31),ISNUMBER(F31)),IF(F31&gt;0,B31/F31,""),"")</f>
        <v/>
      </c>
      <c r="H31" s="33" t="n"/>
      <c r="I31" s="35" t="n"/>
      <c r="J31" s="34">
        <f>IF(TRIM(A31)="",IF(COUNTA(B31:E31,H31:I31)&gt;0,"食材名がありません",""),IF(COUNTIF($A$5:$A$204,A31)&gt;1,"同じ食材名があります",IF(NOT(ISNUMBER(B31)),"仕入価格がありません",IF(NOT(ISNUMBER(C31)),"仕入量がありません",IF(C31&lt;=0,"仕入量がありません",IF(AND(ISNUMBER(E31),OR(E31&lt;=0,E31&gt;1)),"歩留まりは1〜100%で入れます",IF(TRIM(D31)="","単位がありません（g・ml・個など）","")))))))</f>
        <v/>
      </c>
    </row>
    <row r="32" ht="16" customHeight="1">
      <c r="A32" s="38" t="n"/>
      <c r="B32" s="40" t="n"/>
      <c r="C32" s="39" t="n"/>
      <c r="D32" s="36" t="n"/>
      <c r="E32" s="74" t="n"/>
      <c r="F32" s="70">
        <f>IF(AND(ISNUMBER(C32),C32&gt;0),C32*IF(ISNUMBER(E32),E32,1),"")</f>
        <v/>
      </c>
      <c r="G32" s="75">
        <f>IF(AND(ISNUMBER(B32),ISNUMBER(F32)),IF(F32&gt;0,B32/F32,""),"")</f>
        <v/>
      </c>
      <c r="H32" s="33" t="n"/>
      <c r="I32" s="35" t="n"/>
      <c r="J32" s="34">
        <f>IF(TRIM(A32)="",IF(COUNTA(B32:E32,H32:I32)&gt;0,"食材名がありません",""),IF(COUNTIF($A$5:$A$204,A32)&gt;1,"同じ食材名があります",IF(NOT(ISNUMBER(B32)),"仕入価格がありません",IF(NOT(ISNUMBER(C32)),"仕入量がありません",IF(C32&lt;=0,"仕入量がありません",IF(AND(ISNUMBER(E32),OR(E32&lt;=0,E32&gt;1)),"歩留まりは1〜100%で入れます",IF(TRIM(D32)="","単位がありません（g・ml・個など）","")))))))</f>
        <v/>
      </c>
    </row>
    <row r="33" ht="16" customHeight="1">
      <c r="A33" s="38" t="n"/>
      <c r="B33" s="40" t="n"/>
      <c r="C33" s="39" t="n"/>
      <c r="D33" s="36" t="n"/>
      <c r="E33" s="74" t="n"/>
      <c r="F33" s="70">
        <f>IF(AND(ISNUMBER(C33),C33&gt;0),C33*IF(ISNUMBER(E33),E33,1),"")</f>
        <v/>
      </c>
      <c r="G33" s="75">
        <f>IF(AND(ISNUMBER(B33),ISNUMBER(F33)),IF(F33&gt;0,B33/F33,""),"")</f>
        <v/>
      </c>
      <c r="H33" s="33" t="n"/>
      <c r="I33" s="35" t="n"/>
      <c r="J33" s="34">
        <f>IF(TRIM(A33)="",IF(COUNTA(B33:E33,H33:I33)&gt;0,"食材名がありません",""),IF(COUNTIF($A$5:$A$204,A33)&gt;1,"同じ食材名があります",IF(NOT(ISNUMBER(B33)),"仕入価格がありません",IF(NOT(ISNUMBER(C33)),"仕入量がありません",IF(C33&lt;=0,"仕入量がありません",IF(AND(ISNUMBER(E33),OR(E33&lt;=0,E33&gt;1)),"歩留まりは1〜100%で入れます",IF(TRIM(D33)="","単位がありません（g・ml・個など）","")))))))</f>
        <v/>
      </c>
    </row>
    <row r="34" ht="16" customHeight="1">
      <c r="A34" s="38" t="n"/>
      <c r="B34" s="40" t="n"/>
      <c r="C34" s="39" t="n"/>
      <c r="D34" s="36" t="n"/>
      <c r="E34" s="74" t="n"/>
      <c r="F34" s="70">
        <f>IF(AND(ISNUMBER(C34),C34&gt;0),C34*IF(ISNUMBER(E34),E34,1),"")</f>
        <v/>
      </c>
      <c r="G34" s="75">
        <f>IF(AND(ISNUMBER(B34),ISNUMBER(F34)),IF(F34&gt;0,B34/F34,""),"")</f>
        <v/>
      </c>
      <c r="H34" s="33" t="n"/>
      <c r="I34" s="35" t="n"/>
      <c r="J34" s="34">
        <f>IF(TRIM(A34)="",IF(COUNTA(B34:E34,H34:I34)&gt;0,"食材名がありません",""),IF(COUNTIF($A$5:$A$204,A34)&gt;1,"同じ食材名があります",IF(NOT(ISNUMBER(B34)),"仕入価格がありません",IF(NOT(ISNUMBER(C34)),"仕入量がありません",IF(C34&lt;=0,"仕入量がありません",IF(AND(ISNUMBER(E34),OR(E34&lt;=0,E34&gt;1)),"歩留まりは1〜100%で入れます",IF(TRIM(D34)="","単位がありません（g・ml・個など）","")))))))</f>
        <v/>
      </c>
    </row>
    <row r="35" ht="16" customHeight="1">
      <c r="A35" s="38" t="n"/>
      <c r="B35" s="40" t="n"/>
      <c r="C35" s="39" t="n"/>
      <c r="D35" s="36" t="n"/>
      <c r="E35" s="74" t="n"/>
      <c r="F35" s="70">
        <f>IF(AND(ISNUMBER(C35),C35&gt;0),C35*IF(ISNUMBER(E35),E35,1),"")</f>
        <v/>
      </c>
      <c r="G35" s="75">
        <f>IF(AND(ISNUMBER(B35),ISNUMBER(F35)),IF(F35&gt;0,B35/F35,""),"")</f>
        <v/>
      </c>
      <c r="H35" s="33" t="n"/>
      <c r="I35" s="35" t="n"/>
      <c r="J35" s="34">
        <f>IF(TRIM(A35)="",IF(COUNTA(B35:E35,H35:I35)&gt;0,"食材名がありません",""),IF(COUNTIF($A$5:$A$204,A35)&gt;1,"同じ食材名があります",IF(NOT(ISNUMBER(B35)),"仕入価格がありません",IF(NOT(ISNUMBER(C35)),"仕入量がありません",IF(C35&lt;=0,"仕入量がありません",IF(AND(ISNUMBER(E35),OR(E35&lt;=0,E35&gt;1)),"歩留まりは1〜100%で入れます",IF(TRIM(D35)="","単位がありません（g・ml・個など）","")))))))</f>
        <v/>
      </c>
    </row>
    <row r="36" ht="16" customHeight="1">
      <c r="A36" s="38" t="n"/>
      <c r="B36" s="40" t="n"/>
      <c r="C36" s="39" t="n"/>
      <c r="D36" s="36" t="n"/>
      <c r="E36" s="74" t="n"/>
      <c r="F36" s="70">
        <f>IF(AND(ISNUMBER(C36),C36&gt;0),C36*IF(ISNUMBER(E36),E36,1),"")</f>
        <v/>
      </c>
      <c r="G36" s="75">
        <f>IF(AND(ISNUMBER(B36),ISNUMBER(F36)),IF(F36&gt;0,B36/F36,""),"")</f>
        <v/>
      </c>
      <c r="H36" s="33" t="n"/>
      <c r="I36" s="35" t="n"/>
      <c r="J36" s="34">
        <f>IF(TRIM(A36)="",IF(COUNTA(B36:E36,H36:I36)&gt;0,"食材名がありません",""),IF(COUNTIF($A$5:$A$204,A36)&gt;1,"同じ食材名があります",IF(NOT(ISNUMBER(B36)),"仕入価格がありません",IF(NOT(ISNUMBER(C36)),"仕入量がありません",IF(C36&lt;=0,"仕入量がありません",IF(AND(ISNUMBER(E36),OR(E36&lt;=0,E36&gt;1)),"歩留まりは1〜100%で入れます",IF(TRIM(D36)="","単位がありません（g・ml・個など）","")))))))</f>
        <v/>
      </c>
    </row>
    <row r="37" ht="16" customHeight="1">
      <c r="A37" s="38" t="n"/>
      <c r="B37" s="40" t="n"/>
      <c r="C37" s="39" t="n"/>
      <c r="D37" s="36" t="n"/>
      <c r="E37" s="74" t="n"/>
      <c r="F37" s="70">
        <f>IF(AND(ISNUMBER(C37),C37&gt;0),C37*IF(ISNUMBER(E37),E37,1),"")</f>
        <v/>
      </c>
      <c r="G37" s="75">
        <f>IF(AND(ISNUMBER(B37),ISNUMBER(F37)),IF(F37&gt;0,B37/F37,""),"")</f>
        <v/>
      </c>
      <c r="H37" s="33" t="n"/>
      <c r="I37" s="35" t="n"/>
      <c r="J37" s="34">
        <f>IF(TRIM(A37)="",IF(COUNTA(B37:E37,H37:I37)&gt;0,"食材名がありません",""),IF(COUNTIF($A$5:$A$204,A37)&gt;1,"同じ食材名があります",IF(NOT(ISNUMBER(B37)),"仕入価格がありません",IF(NOT(ISNUMBER(C37)),"仕入量がありません",IF(C37&lt;=0,"仕入量がありません",IF(AND(ISNUMBER(E37),OR(E37&lt;=0,E37&gt;1)),"歩留まりは1〜100%で入れます",IF(TRIM(D37)="","単位がありません（g・ml・個など）","")))))))</f>
        <v/>
      </c>
    </row>
    <row r="38" ht="16" customHeight="1">
      <c r="A38" s="38" t="n"/>
      <c r="B38" s="40" t="n"/>
      <c r="C38" s="39" t="n"/>
      <c r="D38" s="36" t="n"/>
      <c r="E38" s="74" t="n"/>
      <c r="F38" s="70">
        <f>IF(AND(ISNUMBER(C38),C38&gt;0),C38*IF(ISNUMBER(E38),E38,1),"")</f>
        <v/>
      </c>
      <c r="G38" s="75">
        <f>IF(AND(ISNUMBER(B38),ISNUMBER(F38)),IF(F38&gt;0,B38/F38,""),"")</f>
        <v/>
      </c>
      <c r="H38" s="33" t="n"/>
      <c r="I38" s="35" t="n"/>
      <c r="J38" s="34">
        <f>IF(TRIM(A38)="",IF(COUNTA(B38:E38,H38:I38)&gt;0,"食材名がありません",""),IF(COUNTIF($A$5:$A$204,A38)&gt;1,"同じ食材名があります",IF(NOT(ISNUMBER(B38)),"仕入価格がありません",IF(NOT(ISNUMBER(C38)),"仕入量がありません",IF(C38&lt;=0,"仕入量がありません",IF(AND(ISNUMBER(E38),OR(E38&lt;=0,E38&gt;1)),"歩留まりは1〜100%で入れます",IF(TRIM(D38)="","単位がありません（g・ml・個など）","")))))))</f>
        <v/>
      </c>
    </row>
    <row r="39" ht="16" customHeight="1">
      <c r="A39" s="38" t="n"/>
      <c r="B39" s="40" t="n"/>
      <c r="C39" s="39" t="n"/>
      <c r="D39" s="36" t="n"/>
      <c r="E39" s="74" t="n"/>
      <c r="F39" s="70">
        <f>IF(AND(ISNUMBER(C39),C39&gt;0),C39*IF(ISNUMBER(E39),E39,1),"")</f>
        <v/>
      </c>
      <c r="G39" s="75">
        <f>IF(AND(ISNUMBER(B39),ISNUMBER(F39)),IF(F39&gt;0,B39/F39,""),"")</f>
        <v/>
      </c>
      <c r="H39" s="33" t="n"/>
      <c r="I39" s="35" t="n"/>
      <c r="J39" s="34">
        <f>IF(TRIM(A39)="",IF(COUNTA(B39:E39,H39:I39)&gt;0,"食材名がありません",""),IF(COUNTIF($A$5:$A$204,A39)&gt;1,"同じ食材名があります",IF(NOT(ISNUMBER(B39)),"仕入価格がありません",IF(NOT(ISNUMBER(C39)),"仕入量がありません",IF(C39&lt;=0,"仕入量がありません",IF(AND(ISNUMBER(E39),OR(E39&lt;=0,E39&gt;1)),"歩留まりは1〜100%で入れます",IF(TRIM(D39)="","単位がありません（g・ml・個など）","")))))))</f>
        <v/>
      </c>
    </row>
    <row r="40" ht="16" customHeight="1">
      <c r="A40" s="38" t="n"/>
      <c r="B40" s="40" t="n"/>
      <c r="C40" s="39" t="n"/>
      <c r="D40" s="36" t="n"/>
      <c r="E40" s="74" t="n"/>
      <c r="F40" s="70">
        <f>IF(AND(ISNUMBER(C40),C40&gt;0),C40*IF(ISNUMBER(E40),E40,1),"")</f>
        <v/>
      </c>
      <c r="G40" s="75">
        <f>IF(AND(ISNUMBER(B40),ISNUMBER(F40)),IF(F40&gt;0,B40/F40,""),"")</f>
        <v/>
      </c>
      <c r="H40" s="33" t="n"/>
      <c r="I40" s="35" t="n"/>
      <c r="J40" s="34">
        <f>IF(TRIM(A40)="",IF(COUNTA(B40:E40,H40:I40)&gt;0,"食材名がありません",""),IF(COUNTIF($A$5:$A$204,A40)&gt;1,"同じ食材名があります",IF(NOT(ISNUMBER(B40)),"仕入価格がありません",IF(NOT(ISNUMBER(C40)),"仕入量がありません",IF(C40&lt;=0,"仕入量がありません",IF(AND(ISNUMBER(E40),OR(E40&lt;=0,E40&gt;1)),"歩留まりは1〜100%で入れます",IF(TRIM(D40)="","単位がありません（g・ml・個など）","")))))))</f>
        <v/>
      </c>
    </row>
    <row r="41" ht="16" customHeight="1">
      <c r="A41" s="38" t="n"/>
      <c r="B41" s="40" t="n"/>
      <c r="C41" s="39" t="n"/>
      <c r="D41" s="36" t="n"/>
      <c r="E41" s="74" t="n"/>
      <c r="F41" s="70">
        <f>IF(AND(ISNUMBER(C41),C41&gt;0),C41*IF(ISNUMBER(E41),E41,1),"")</f>
        <v/>
      </c>
      <c r="G41" s="75">
        <f>IF(AND(ISNUMBER(B41),ISNUMBER(F41)),IF(F41&gt;0,B41/F41,""),"")</f>
        <v/>
      </c>
      <c r="H41" s="33" t="n"/>
      <c r="I41" s="35" t="n"/>
      <c r="J41" s="34">
        <f>IF(TRIM(A41)="",IF(COUNTA(B41:E41,H41:I41)&gt;0,"食材名がありません",""),IF(COUNTIF($A$5:$A$204,A41)&gt;1,"同じ食材名があります",IF(NOT(ISNUMBER(B41)),"仕入価格がありません",IF(NOT(ISNUMBER(C41)),"仕入量がありません",IF(C41&lt;=0,"仕入量がありません",IF(AND(ISNUMBER(E41),OR(E41&lt;=0,E41&gt;1)),"歩留まりは1〜100%で入れます",IF(TRIM(D41)="","単位がありません（g・ml・個など）","")))))))</f>
        <v/>
      </c>
    </row>
    <row r="42" ht="16" customHeight="1">
      <c r="A42" s="38" t="n"/>
      <c r="B42" s="40" t="n"/>
      <c r="C42" s="39" t="n"/>
      <c r="D42" s="36" t="n"/>
      <c r="E42" s="74" t="n"/>
      <c r="F42" s="70">
        <f>IF(AND(ISNUMBER(C42),C42&gt;0),C42*IF(ISNUMBER(E42),E42,1),"")</f>
        <v/>
      </c>
      <c r="G42" s="75">
        <f>IF(AND(ISNUMBER(B42),ISNUMBER(F42)),IF(F42&gt;0,B42/F42,""),"")</f>
        <v/>
      </c>
      <c r="H42" s="33" t="n"/>
      <c r="I42" s="35" t="n"/>
      <c r="J42" s="34">
        <f>IF(TRIM(A42)="",IF(COUNTA(B42:E42,H42:I42)&gt;0,"食材名がありません",""),IF(COUNTIF($A$5:$A$204,A42)&gt;1,"同じ食材名があります",IF(NOT(ISNUMBER(B42)),"仕入価格がありません",IF(NOT(ISNUMBER(C42)),"仕入量がありません",IF(C42&lt;=0,"仕入量がありません",IF(AND(ISNUMBER(E42),OR(E42&lt;=0,E42&gt;1)),"歩留まりは1〜100%で入れます",IF(TRIM(D42)="","単位がありません（g・ml・個など）","")))))))</f>
        <v/>
      </c>
    </row>
    <row r="43" ht="16" customHeight="1">
      <c r="A43" s="38" t="n"/>
      <c r="B43" s="40" t="n"/>
      <c r="C43" s="39" t="n"/>
      <c r="D43" s="36" t="n"/>
      <c r="E43" s="74" t="n"/>
      <c r="F43" s="70">
        <f>IF(AND(ISNUMBER(C43),C43&gt;0),C43*IF(ISNUMBER(E43),E43,1),"")</f>
        <v/>
      </c>
      <c r="G43" s="75">
        <f>IF(AND(ISNUMBER(B43),ISNUMBER(F43)),IF(F43&gt;0,B43/F43,""),"")</f>
        <v/>
      </c>
      <c r="H43" s="33" t="n"/>
      <c r="I43" s="35" t="n"/>
      <c r="J43" s="34">
        <f>IF(TRIM(A43)="",IF(COUNTA(B43:E43,H43:I43)&gt;0,"食材名がありません",""),IF(COUNTIF($A$5:$A$204,A43)&gt;1,"同じ食材名があります",IF(NOT(ISNUMBER(B43)),"仕入価格がありません",IF(NOT(ISNUMBER(C43)),"仕入量がありません",IF(C43&lt;=0,"仕入量がありません",IF(AND(ISNUMBER(E43),OR(E43&lt;=0,E43&gt;1)),"歩留まりは1〜100%で入れます",IF(TRIM(D43)="","単位がありません（g・ml・個など）","")))))))</f>
        <v/>
      </c>
    </row>
    <row r="44" ht="16" customHeight="1">
      <c r="A44" s="38" t="n"/>
      <c r="B44" s="40" t="n"/>
      <c r="C44" s="39" t="n"/>
      <c r="D44" s="36" t="n"/>
      <c r="E44" s="74" t="n"/>
      <c r="F44" s="70">
        <f>IF(AND(ISNUMBER(C44),C44&gt;0),C44*IF(ISNUMBER(E44),E44,1),"")</f>
        <v/>
      </c>
      <c r="G44" s="75">
        <f>IF(AND(ISNUMBER(B44),ISNUMBER(F44)),IF(F44&gt;0,B44/F44,""),"")</f>
        <v/>
      </c>
      <c r="H44" s="33" t="n"/>
      <c r="I44" s="35" t="n"/>
      <c r="J44" s="34">
        <f>IF(TRIM(A44)="",IF(COUNTA(B44:E44,H44:I44)&gt;0,"食材名がありません",""),IF(COUNTIF($A$5:$A$204,A44)&gt;1,"同じ食材名があります",IF(NOT(ISNUMBER(B44)),"仕入価格がありません",IF(NOT(ISNUMBER(C44)),"仕入量がありません",IF(C44&lt;=0,"仕入量がありません",IF(AND(ISNUMBER(E44),OR(E44&lt;=0,E44&gt;1)),"歩留まりは1〜100%で入れます",IF(TRIM(D44)="","単位がありません（g・ml・個など）","")))))))</f>
        <v/>
      </c>
    </row>
    <row r="45" ht="16" customHeight="1">
      <c r="A45" s="38" t="n"/>
      <c r="B45" s="40" t="n"/>
      <c r="C45" s="39" t="n"/>
      <c r="D45" s="36" t="n"/>
      <c r="E45" s="74" t="n"/>
      <c r="F45" s="70">
        <f>IF(AND(ISNUMBER(C45),C45&gt;0),C45*IF(ISNUMBER(E45),E45,1),"")</f>
        <v/>
      </c>
      <c r="G45" s="75">
        <f>IF(AND(ISNUMBER(B45),ISNUMBER(F45)),IF(F45&gt;0,B45/F45,""),"")</f>
        <v/>
      </c>
      <c r="H45" s="33" t="n"/>
      <c r="I45" s="35" t="n"/>
      <c r="J45" s="34">
        <f>IF(TRIM(A45)="",IF(COUNTA(B45:E45,H45:I45)&gt;0,"食材名がありません",""),IF(COUNTIF($A$5:$A$204,A45)&gt;1,"同じ食材名があります",IF(NOT(ISNUMBER(B45)),"仕入価格がありません",IF(NOT(ISNUMBER(C45)),"仕入量がありません",IF(C45&lt;=0,"仕入量がありません",IF(AND(ISNUMBER(E45),OR(E45&lt;=0,E45&gt;1)),"歩留まりは1〜100%で入れます",IF(TRIM(D45)="","単位がありません（g・ml・個など）","")))))))</f>
        <v/>
      </c>
    </row>
    <row r="46" ht="16" customHeight="1">
      <c r="A46" s="38" t="n"/>
      <c r="B46" s="40" t="n"/>
      <c r="C46" s="39" t="n"/>
      <c r="D46" s="36" t="n"/>
      <c r="E46" s="74" t="n"/>
      <c r="F46" s="70">
        <f>IF(AND(ISNUMBER(C46),C46&gt;0),C46*IF(ISNUMBER(E46),E46,1),"")</f>
        <v/>
      </c>
      <c r="G46" s="75">
        <f>IF(AND(ISNUMBER(B46),ISNUMBER(F46)),IF(F46&gt;0,B46/F46,""),"")</f>
        <v/>
      </c>
      <c r="H46" s="33" t="n"/>
      <c r="I46" s="35" t="n"/>
      <c r="J46" s="34">
        <f>IF(TRIM(A46)="",IF(COUNTA(B46:E46,H46:I46)&gt;0,"食材名がありません",""),IF(COUNTIF($A$5:$A$204,A46)&gt;1,"同じ食材名があります",IF(NOT(ISNUMBER(B46)),"仕入価格がありません",IF(NOT(ISNUMBER(C46)),"仕入量がありません",IF(C46&lt;=0,"仕入量がありません",IF(AND(ISNUMBER(E46),OR(E46&lt;=0,E46&gt;1)),"歩留まりは1〜100%で入れます",IF(TRIM(D46)="","単位がありません（g・ml・個など）","")))))))</f>
        <v/>
      </c>
    </row>
    <row r="47" ht="16" customHeight="1">
      <c r="A47" s="38" t="n"/>
      <c r="B47" s="40" t="n"/>
      <c r="C47" s="39" t="n"/>
      <c r="D47" s="36" t="n"/>
      <c r="E47" s="74" t="n"/>
      <c r="F47" s="70">
        <f>IF(AND(ISNUMBER(C47),C47&gt;0),C47*IF(ISNUMBER(E47),E47,1),"")</f>
        <v/>
      </c>
      <c r="G47" s="75">
        <f>IF(AND(ISNUMBER(B47),ISNUMBER(F47)),IF(F47&gt;0,B47/F47,""),"")</f>
        <v/>
      </c>
      <c r="H47" s="33" t="n"/>
      <c r="I47" s="35" t="n"/>
      <c r="J47" s="34">
        <f>IF(TRIM(A47)="",IF(COUNTA(B47:E47,H47:I47)&gt;0,"食材名がありません",""),IF(COUNTIF($A$5:$A$204,A47)&gt;1,"同じ食材名があります",IF(NOT(ISNUMBER(B47)),"仕入価格がありません",IF(NOT(ISNUMBER(C47)),"仕入量がありません",IF(C47&lt;=0,"仕入量がありません",IF(AND(ISNUMBER(E47),OR(E47&lt;=0,E47&gt;1)),"歩留まりは1〜100%で入れます",IF(TRIM(D47)="","単位がありません（g・ml・個など）","")))))))</f>
        <v/>
      </c>
    </row>
    <row r="48" ht="16" customHeight="1">
      <c r="A48" s="38" t="n"/>
      <c r="B48" s="40" t="n"/>
      <c r="C48" s="39" t="n"/>
      <c r="D48" s="36" t="n"/>
      <c r="E48" s="74" t="n"/>
      <c r="F48" s="70">
        <f>IF(AND(ISNUMBER(C48),C48&gt;0),C48*IF(ISNUMBER(E48),E48,1),"")</f>
        <v/>
      </c>
      <c r="G48" s="75">
        <f>IF(AND(ISNUMBER(B48),ISNUMBER(F48)),IF(F48&gt;0,B48/F48,""),"")</f>
        <v/>
      </c>
      <c r="H48" s="33" t="n"/>
      <c r="I48" s="35" t="n"/>
      <c r="J48" s="34">
        <f>IF(TRIM(A48)="",IF(COUNTA(B48:E48,H48:I48)&gt;0,"食材名がありません",""),IF(COUNTIF($A$5:$A$204,A48)&gt;1,"同じ食材名があります",IF(NOT(ISNUMBER(B48)),"仕入価格がありません",IF(NOT(ISNUMBER(C48)),"仕入量がありません",IF(C48&lt;=0,"仕入量がありません",IF(AND(ISNUMBER(E48),OR(E48&lt;=0,E48&gt;1)),"歩留まりは1〜100%で入れます",IF(TRIM(D48)="","単位がありません（g・ml・個など）","")))))))</f>
        <v/>
      </c>
    </row>
    <row r="49" ht="16" customHeight="1">
      <c r="A49" s="38" t="n"/>
      <c r="B49" s="40" t="n"/>
      <c r="C49" s="39" t="n"/>
      <c r="D49" s="36" t="n"/>
      <c r="E49" s="74" t="n"/>
      <c r="F49" s="70">
        <f>IF(AND(ISNUMBER(C49),C49&gt;0),C49*IF(ISNUMBER(E49),E49,1),"")</f>
        <v/>
      </c>
      <c r="G49" s="75">
        <f>IF(AND(ISNUMBER(B49),ISNUMBER(F49)),IF(F49&gt;0,B49/F49,""),"")</f>
        <v/>
      </c>
      <c r="H49" s="33" t="n"/>
      <c r="I49" s="35" t="n"/>
      <c r="J49" s="34">
        <f>IF(TRIM(A49)="",IF(COUNTA(B49:E49,H49:I49)&gt;0,"食材名がありません",""),IF(COUNTIF($A$5:$A$204,A49)&gt;1,"同じ食材名があります",IF(NOT(ISNUMBER(B49)),"仕入価格がありません",IF(NOT(ISNUMBER(C49)),"仕入量がありません",IF(C49&lt;=0,"仕入量がありません",IF(AND(ISNUMBER(E49),OR(E49&lt;=0,E49&gt;1)),"歩留まりは1〜100%で入れます",IF(TRIM(D49)="","単位がありません（g・ml・個など）","")))))))</f>
        <v/>
      </c>
    </row>
    <row r="50" ht="16" customHeight="1">
      <c r="A50" s="38" t="n"/>
      <c r="B50" s="40" t="n"/>
      <c r="C50" s="39" t="n"/>
      <c r="D50" s="36" t="n"/>
      <c r="E50" s="74" t="n"/>
      <c r="F50" s="70">
        <f>IF(AND(ISNUMBER(C50),C50&gt;0),C50*IF(ISNUMBER(E50),E50,1),"")</f>
        <v/>
      </c>
      <c r="G50" s="75">
        <f>IF(AND(ISNUMBER(B50),ISNUMBER(F50)),IF(F50&gt;0,B50/F50,""),"")</f>
        <v/>
      </c>
      <c r="H50" s="33" t="n"/>
      <c r="I50" s="35" t="n"/>
      <c r="J50" s="34">
        <f>IF(TRIM(A50)="",IF(COUNTA(B50:E50,H50:I50)&gt;0,"食材名がありません",""),IF(COUNTIF($A$5:$A$204,A50)&gt;1,"同じ食材名があります",IF(NOT(ISNUMBER(B50)),"仕入価格がありません",IF(NOT(ISNUMBER(C50)),"仕入量がありません",IF(C50&lt;=0,"仕入量がありません",IF(AND(ISNUMBER(E50),OR(E50&lt;=0,E50&gt;1)),"歩留まりは1〜100%で入れます",IF(TRIM(D50)="","単位がありません（g・ml・個など）","")))))))</f>
        <v/>
      </c>
    </row>
    <row r="51" ht="16" customHeight="1">
      <c r="A51" s="38" t="n"/>
      <c r="B51" s="40" t="n"/>
      <c r="C51" s="39" t="n"/>
      <c r="D51" s="36" t="n"/>
      <c r="E51" s="74" t="n"/>
      <c r="F51" s="70">
        <f>IF(AND(ISNUMBER(C51),C51&gt;0),C51*IF(ISNUMBER(E51),E51,1),"")</f>
        <v/>
      </c>
      <c r="G51" s="75">
        <f>IF(AND(ISNUMBER(B51),ISNUMBER(F51)),IF(F51&gt;0,B51/F51,""),"")</f>
        <v/>
      </c>
      <c r="H51" s="33" t="n"/>
      <c r="I51" s="35" t="n"/>
      <c r="J51" s="34">
        <f>IF(TRIM(A51)="",IF(COUNTA(B51:E51,H51:I51)&gt;0,"食材名がありません",""),IF(COUNTIF($A$5:$A$204,A51)&gt;1,"同じ食材名があります",IF(NOT(ISNUMBER(B51)),"仕入価格がありません",IF(NOT(ISNUMBER(C51)),"仕入量がありません",IF(C51&lt;=0,"仕入量がありません",IF(AND(ISNUMBER(E51),OR(E51&lt;=0,E51&gt;1)),"歩留まりは1〜100%で入れます",IF(TRIM(D51)="","単位がありません（g・ml・個など）","")))))))</f>
        <v/>
      </c>
    </row>
    <row r="52" ht="16" customHeight="1">
      <c r="A52" s="38" t="n"/>
      <c r="B52" s="40" t="n"/>
      <c r="C52" s="39" t="n"/>
      <c r="D52" s="36" t="n"/>
      <c r="E52" s="74" t="n"/>
      <c r="F52" s="70">
        <f>IF(AND(ISNUMBER(C52),C52&gt;0),C52*IF(ISNUMBER(E52),E52,1),"")</f>
        <v/>
      </c>
      <c r="G52" s="75">
        <f>IF(AND(ISNUMBER(B52),ISNUMBER(F52)),IF(F52&gt;0,B52/F52,""),"")</f>
        <v/>
      </c>
      <c r="H52" s="33" t="n"/>
      <c r="I52" s="35" t="n"/>
      <c r="J52" s="34">
        <f>IF(TRIM(A52)="",IF(COUNTA(B52:E52,H52:I52)&gt;0,"食材名がありません",""),IF(COUNTIF($A$5:$A$204,A52)&gt;1,"同じ食材名があります",IF(NOT(ISNUMBER(B52)),"仕入価格がありません",IF(NOT(ISNUMBER(C52)),"仕入量がありません",IF(C52&lt;=0,"仕入量がありません",IF(AND(ISNUMBER(E52),OR(E52&lt;=0,E52&gt;1)),"歩留まりは1〜100%で入れます",IF(TRIM(D52)="","単位がありません（g・ml・個など）","")))))))</f>
        <v/>
      </c>
    </row>
    <row r="53" ht="16" customHeight="1">
      <c r="A53" s="38" t="n"/>
      <c r="B53" s="40" t="n"/>
      <c r="C53" s="39" t="n"/>
      <c r="D53" s="36" t="n"/>
      <c r="E53" s="74" t="n"/>
      <c r="F53" s="70">
        <f>IF(AND(ISNUMBER(C53),C53&gt;0),C53*IF(ISNUMBER(E53),E53,1),"")</f>
        <v/>
      </c>
      <c r="G53" s="75">
        <f>IF(AND(ISNUMBER(B53),ISNUMBER(F53)),IF(F53&gt;0,B53/F53,""),"")</f>
        <v/>
      </c>
      <c r="H53" s="33" t="n"/>
      <c r="I53" s="35" t="n"/>
      <c r="J53" s="34">
        <f>IF(TRIM(A53)="",IF(COUNTA(B53:E53,H53:I53)&gt;0,"食材名がありません",""),IF(COUNTIF($A$5:$A$204,A53)&gt;1,"同じ食材名があります",IF(NOT(ISNUMBER(B53)),"仕入価格がありません",IF(NOT(ISNUMBER(C53)),"仕入量がありません",IF(C53&lt;=0,"仕入量がありません",IF(AND(ISNUMBER(E53),OR(E53&lt;=0,E53&gt;1)),"歩留まりは1〜100%で入れます",IF(TRIM(D53)="","単位がありません（g・ml・個など）","")))))))</f>
        <v/>
      </c>
    </row>
    <row r="54" ht="16" customHeight="1">
      <c r="A54" s="38" t="n"/>
      <c r="B54" s="40" t="n"/>
      <c r="C54" s="39" t="n"/>
      <c r="D54" s="36" t="n"/>
      <c r="E54" s="74" t="n"/>
      <c r="F54" s="70">
        <f>IF(AND(ISNUMBER(C54),C54&gt;0),C54*IF(ISNUMBER(E54),E54,1),"")</f>
        <v/>
      </c>
      <c r="G54" s="75">
        <f>IF(AND(ISNUMBER(B54),ISNUMBER(F54)),IF(F54&gt;0,B54/F54,""),"")</f>
        <v/>
      </c>
      <c r="H54" s="33" t="n"/>
      <c r="I54" s="35" t="n"/>
      <c r="J54" s="34">
        <f>IF(TRIM(A54)="",IF(COUNTA(B54:E54,H54:I54)&gt;0,"食材名がありません",""),IF(COUNTIF($A$5:$A$204,A54)&gt;1,"同じ食材名があります",IF(NOT(ISNUMBER(B54)),"仕入価格がありません",IF(NOT(ISNUMBER(C54)),"仕入量がありません",IF(C54&lt;=0,"仕入量がありません",IF(AND(ISNUMBER(E54),OR(E54&lt;=0,E54&gt;1)),"歩留まりは1〜100%で入れます",IF(TRIM(D54)="","単位がありません（g・ml・個など）","")))))))</f>
        <v/>
      </c>
    </row>
    <row r="55" ht="16" customHeight="1">
      <c r="A55" s="38" t="n"/>
      <c r="B55" s="40" t="n"/>
      <c r="C55" s="39" t="n"/>
      <c r="D55" s="36" t="n"/>
      <c r="E55" s="74" t="n"/>
      <c r="F55" s="70">
        <f>IF(AND(ISNUMBER(C55),C55&gt;0),C55*IF(ISNUMBER(E55),E55,1),"")</f>
        <v/>
      </c>
      <c r="G55" s="75">
        <f>IF(AND(ISNUMBER(B55),ISNUMBER(F55)),IF(F55&gt;0,B55/F55,""),"")</f>
        <v/>
      </c>
      <c r="H55" s="33" t="n"/>
      <c r="I55" s="35" t="n"/>
      <c r="J55" s="34">
        <f>IF(TRIM(A55)="",IF(COUNTA(B55:E55,H55:I55)&gt;0,"食材名がありません",""),IF(COUNTIF($A$5:$A$204,A55)&gt;1,"同じ食材名があります",IF(NOT(ISNUMBER(B55)),"仕入価格がありません",IF(NOT(ISNUMBER(C55)),"仕入量がありません",IF(C55&lt;=0,"仕入量がありません",IF(AND(ISNUMBER(E55),OR(E55&lt;=0,E55&gt;1)),"歩留まりは1〜100%で入れます",IF(TRIM(D55)="","単位がありません（g・ml・個など）","")))))))</f>
        <v/>
      </c>
    </row>
    <row r="56" ht="16" customHeight="1">
      <c r="A56" s="38" t="n"/>
      <c r="B56" s="40" t="n"/>
      <c r="C56" s="39" t="n"/>
      <c r="D56" s="36" t="n"/>
      <c r="E56" s="74" t="n"/>
      <c r="F56" s="70">
        <f>IF(AND(ISNUMBER(C56),C56&gt;0),C56*IF(ISNUMBER(E56),E56,1),"")</f>
        <v/>
      </c>
      <c r="G56" s="75">
        <f>IF(AND(ISNUMBER(B56),ISNUMBER(F56)),IF(F56&gt;0,B56/F56,""),"")</f>
        <v/>
      </c>
      <c r="H56" s="33" t="n"/>
      <c r="I56" s="35" t="n"/>
      <c r="J56" s="34">
        <f>IF(TRIM(A56)="",IF(COUNTA(B56:E56,H56:I56)&gt;0,"食材名がありません",""),IF(COUNTIF($A$5:$A$204,A56)&gt;1,"同じ食材名があります",IF(NOT(ISNUMBER(B56)),"仕入価格がありません",IF(NOT(ISNUMBER(C56)),"仕入量がありません",IF(C56&lt;=0,"仕入量がありません",IF(AND(ISNUMBER(E56),OR(E56&lt;=0,E56&gt;1)),"歩留まりは1〜100%で入れます",IF(TRIM(D56)="","単位がありません（g・ml・個など）","")))))))</f>
        <v/>
      </c>
    </row>
    <row r="57" ht="16" customHeight="1">
      <c r="A57" s="38" t="n"/>
      <c r="B57" s="40" t="n"/>
      <c r="C57" s="39" t="n"/>
      <c r="D57" s="36" t="n"/>
      <c r="E57" s="74" t="n"/>
      <c r="F57" s="70">
        <f>IF(AND(ISNUMBER(C57),C57&gt;0),C57*IF(ISNUMBER(E57),E57,1),"")</f>
        <v/>
      </c>
      <c r="G57" s="75">
        <f>IF(AND(ISNUMBER(B57),ISNUMBER(F57)),IF(F57&gt;0,B57/F57,""),"")</f>
        <v/>
      </c>
      <c r="H57" s="33" t="n"/>
      <c r="I57" s="35" t="n"/>
      <c r="J57" s="34">
        <f>IF(TRIM(A57)="",IF(COUNTA(B57:E57,H57:I57)&gt;0,"食材名がありません",""),IF(COUNTIF($A$5:$A$204,A57)&gt;1,"同じ食材名があります",IF(NOT(ISNUMBER(B57)),"仕入価格がありません",IF(NOT(ISNUMBER(C57)),"仕入量がありません",IF(C57&lt;=0,"仕入量がありません",IF(AND(ISNUMBER(E57),OR(E57&lt;=0,E57&gt;1)),"歩留まりは1〜100%で入れます",IF(TRIM(D57)="","単位がありません（g・ml・個など）","")))))))</f>
        <v/>
      </c>
    </row>
    <row r="58" ht="16" customHeight="1">
      <c r="A58" s="38" t="n"/>
      <c r="B58" s="40" t="n"/>
      <c r="C58" s="39" t="n"/>
      <c r="D58" s="36" t="n"/>
      <c r="E58" s="74" t="n"/>
      <c r="F58" s="70">
        <f>IF(AND(ISNUMBER(C58),C58&gt;0),C58*IF(ISNUMBER(E58),E58,1),"")</f>
        <v/>
      </c>
      <c r="G58" s="75">
        <f>IF(AND(ISNUMBER(B58),ISNUMBER(F58)),IF(F58&gt;0,B58/F58,""),"")</f>
        <v/>
      </c>
      <c r="H58" s="33" t="n"/>
      <c r="I58" s="35" t="n"/>
      <c r="J58" s="34">
        <f>IF(TRIM(A58)="",IF(COUNTA(B58:E58,H58:I58)&gt;0,"食材名がありません",""),IF(COUNTIF($A$5:$A$204,A58)&gt;1,"同じ食材名があります",IF(NOT(ISNUMBER(B58)),"仕入価格がありません",IF(NOT(ISNUMBER(C58)),"仕入量がありません",IF(C58&lt;=0,"仕入量がありません",IF(AND(ISNUMBER(E58),OR(E58&lt;=0,E58&gt;1)),"歩留まりは1〜100%で入れます",IF(TRIM(D58)="","単位がありません（g・ml・個など）","")))))))</f>
        <v/>
      </c>
    </row>
    <row r="59" ht="16" customHeight="1">
      <c r="A59" s="38" t="n"/>
      <c r="B59" s="40" t="n"/>
      <c r="C59" s="39" t="n"/>
      <c r="D59" s="36" t="n"/>
      <c r="E59" s="74" t="n"/>
      <c r="F59" s="70">
        <f>IF(AND(ISNUMBER(C59),C59&gt;0),C59*IF(ISNUMBER(E59),E59,1),"")</f>
        <v/>
      </c>
      <c r="G59" s="75">
        <f>IF(AND(ISNUMBER(B59),ISNUMBER(F59)),IF(F59&gt;0,B59/F59,""),"")</f>
        <v/>
      </c>
      <c r="H59" s="33" t="n"/>
      <c r="I59" s="35" t="n"/>
      <c r="J59" s="34">
        <f>IF(TRIM(A59)="",IF(COUNTA(B59:E59,H59:I59)&gt;0,"食材名がありません",""),IF(COUNTIF($A$5:$A$204,A59)&gt;1,"同じ食材名があります",IF(NOT(ISNUMBER(B59)),"仕入価格がありません",IF(NOT(ISNUMBER(C59)),"仕入量がありません",IF(C59&lt;=0,"仕入量がありません",IF(AND(ISNUMBER(E59),OR(E59&lt;=0,E59&gt;1)),"歩留まりは1〜100%で入れます",IF(TRIM(D59)="","単位がありません（g・ml・個など）","")))))))</f>
        <v/>
      </c>
    </row>
    <row r="60" ht="16" customHeight="1">
      <c r="A60" s="38" t="n"/>
      <c r="B60" s="40" t="n"/>
      <c r="C60" s="39" t="n"/>
      <c r="D60" s="36" t="n"/>
      <c r="E60" s="74" t="n"/>
      <c r="F60" s="70">
        <f>IF(AND(ISNUMBER(C60),C60&gt;0),C60*IF(ISNUMBER(E60),E60,1),"")</f>
        <v/>
      </c>
      <c r="G60" s="75">
        <f>IF(AND(ISNUMBER(B60),ISNUMBER(F60)),IF(F60&gt;0,B60/F60,""),"")</f>
        <v/>
      </c>
      <c r="H60" s="33" t="n"/>
      <c r="I60" s="35" t="n"/>
      <c r="J60" s="34">
        <f>IF(TRIM(A60)="",IF(COUNTA(B60:E60,H60:I60)&gt;0,"食材名がありません",""),IF(COUNTIF($A$5:$A$204,A60)&gt;1,"同じ食材名があります",IF(NOT(ISNUMBER(B60)),"仕入価格がありません",IF(NOT(ISNUMBER(C60)),"仕入量がありません",IF(C60&lt;=0,"仕入量がありません",IF(AND(ISNUMBER(E60),OR(E60&lt;=0,E60&gt;1)),"歩留まりは1〜100%で入れます",IF(TRIM(D60)="","単位がありません（g・ml・個など）","")))))))</f>
        <v/>
      </c>
    </row>
    <row r="61" ht="16" customHeight="1">
      <c r="A61" s="38" t="n"/>
      <c r="B61" s="40" t="n"/>
      <c r="C61" s="39" t="n"/>
      <c r="D61" s="36" t="n"/>
      <c r="E61" s="74" t="n"/>
      <c r="F61" s="70">
        <f>IF(AND(ISNUMBER(C61),C61&gt;0),C61*IF(ISNUMBER(E61),E61,1),"")</f>
        <v/>
      </c>
      <c r="G61" s="75">
        <f>IF(AND(ISNUMBER(B61),ISNUMBER(F61)),IF(F61&gt;0,B61/F61,""),"")</f>
        <v/>
      </c>
      <c r="H61" s="33" t="n"/>
      <c r="I61" s="35" t="n"/>
      <c r="J61" s="34">
        <f>IF(TRIM(A61)="",IF(COUNTA(B61:E61,H61:I61)&gt;0,"食材名がありません",""),IF(COUNTIF($A$5:$A$204,A61)&gt;1,"同じ食材名があります",IF(NOT(ISNUMBER(B61)),"仕入価格がありません",IF(NOT(ISNUMBER(C61)),"仕入量がありません",IF(C61&lt;=0,"仕入量がありません",IF(AND(ISNUMBER(E61),OR(E61&lt;=0,E61&gt;1)),"歩留まりは1〜100%で入れます",IF(TRIM(D61)="","単位がありません（g・ml・個など）","")))))))</f>
        <v/>
      </c>
    </row>
    <row r="62" ht="16" customHeight="1">
      <c r="A62" s="38" t="n"/>
      <c r="B62" s="40" t="n"/>
      <c r="C62" s="39" t="n"/>
      <c r="D62" s="36" t="n"/>
      <c r="E62" s="74" t="n"/>
      <c r="F62" s="70">
        <f>IF(AND(ISNUMBER(C62),C62&gt;0),C62*IF(ISNUMBER(E62),E62,1),"")</f>
        <v/>
      </c>
      <c r="G62" s="75">
        <f>IF(AND(ISNUMBER(B62),ISNUMBER(F62)),IF(F62&gt;0,B62/F62,""),"")</f>
        <v/>
      </c>
      <c r="H62" s="33" t="n"/>
      <c r="I62" s="35" t="n"/>
      <c r="J62" s="34">
        <f>IF(TRIM(A62)="",IF(COUNTA(B62:E62,H62:I62)&gt;0,"食材名がありません",""),IF(COUNTIF($A$5:$A$204,A62)&gt;1,"同じ食材名があります",IF(NOT(ISNUMBER(B62)),"仕入価格がありません",IF(NOT(ISNUMBER(C62)),"仕入量がありません",IF(C62&lt;=0,"仕入量がありません",IF(AND(ISNUMBER(E62),OR(E62&lt;=0,E62&gt;1)),"歩留まりは1〜100%で入れます",IF(TRIM(D62)="","単位がありません（g・ml・個など）","")))))))</f>
        <v/>
      </c>
    </row>
    <row r="63" ht="16" customHeight="1">
      <c r="A63" s="38" t="n"/>
      <c r="B63" s="40" t="n"/>
      <c r="C63" s="39" t="n"/>
      <c r="D63" s="36" t="n"/>
      <c r="E63" s="74" t="n"/>
      <c r="F63" s="70">
        <f>IF(AND(ISNUMBER(C63),C63&gt;0),C63*IF(ISNUMBER(E63),E63,1),"")</f>
        <v/>
      </c>
      <c r="G63" s="75">
        <f>IF(AND(ISNUMBER(B63),ISNUMBER(F63)),IF(F63&gt;0,B63/F63,""),"")</f>
        <v/>
      </c>
      <c r="H63" s="33" t="n"/>
      <c r="I63" s="35" t="n"/>
      <c r="J63" s="34">
        <f>IF(TRIM(A63)="",IF(COUNTA(B63:E63,H63:I63)&gt;0,"食材名がありません",""),IF(COUNTIF($A$5:$A$204,A63)&gt;1,"同じ食材名があります",IF(NOT(ISNUMBER(B63)),"仕入価格がありません",IF(NOT(ISNUMBER(C63)),"仕入量がありません",IF(C63&lt;=0,"仕入量がありません",IF(AND(ISNUMBER(E63),OR(E63&lt;=0,E63&gt;1)),"歩留まりは1〜100%で入れます",IF(TRIM(D63)="","単位がありません（g・ml・個など）","")))))))</f>
        <v/>
      </c>
    </row>
    <row r="64" ht="16" customHeight="1">
      <c r="A64" s="38" t="n"/>
      <c r="B64" s="40" t="n"/>
      <c r="C64" s="39" t="n"/>
      <c r="D64" s="36" t="n"/>
      <c r="E64" s="74" t="n"/>
      <c r="F64" s="70">
        <f>IF(AND(ISNUMBER(C64),C64&gt;0),C64*IF(ISNUMBER(E64),E64,1),"")</f>
        <v/>
      </c>
      <c r="G64" s="75">
        <f>IF(AND(ISNUMBER(B64),ISNUMBER(F64)),IF(F64&gt;0,B64/F64,""),"")</f>
        <v/>
      </c>
      <c r="H64" s="33" t="n"/>
      <c r="I64" s="35" t="n"/>
      <c r="J64" s="34">
        <f>IF(TRIM(A64)="",IF(COUNTA(B64:E64,H64:I64)&gt;0,"食材名がありません",""),IF(COUNTIF($A$5:$A$204,A64)&gt;1,"同じ食材名があります",IF(NOT(ISNUMBER(B64)),"仕入価格がありません",IF(NOT(ISNUMBER(C64)),"仕入量がありません",IF(C64&lt;=0,"仕入量がありません",IF(AND(ISNUMBER(E64),OR(E64&lt;=0,E64&gt;1)),"歩留まりは1〜100%で入れます",IF(TRIM(D64)="","単位がありません（g・ml・個など）","")))))))</f>
        <v/>
      </c>
    </row>
    <row r="65" ht="16" customHeight="1">
      <c r="A65" s="38" t="n"/>
      <c r="B65" s="40" t="n"/>
      <c r="C65" s="39" t="n"/>
      <c r="D65" s="36" t="n"/>
      <c r="E65" s="74" t="n"/>
      <c r="F65" s="70">
        <f>IF(AND(ISNUMBER(C65),C65&gt;0),C65*IF(ISNUMBER(E65),E65,1),"")</f>
        <v/>
      </c>
      <c r="G65" s="75">
        <f>IF(AND(ISNUMBER(B65),ISNUMBER(F65)),IF(F65&gt;0,B65/F65,""),"")</f>
        <v/>
      </c>
      <c r="H65" s="33" t="n"/>
      <c r="I65" s="35" t="n"/>
      <c r="J65" s="34">
        <f>IF(TRIM(A65)="",IF(COUNTA(B65:E65,H65:I65)&gt;0,"食材名がありません",""),IF(COUNTIF($A$5:$A$204,A65)&gt;1,"同じ食材名があります",IF(NOT(ISNUMBER(B65)),"仕入価格がありません",IF(NOT(ISNUMBER(C65)),"仕入量がありません",IF(C65&lt;=0,"仕入量がありません",IF(AND(ISNUMBER(E65),OR(E65&lt;=0,E65&gt;1)),"歩留まりは1〜100%で入れます",IF(TRIM(D65)="","単位がありません（g・ml・個など）","")))))))</f>
        <v/>
      </c>
    </row>
    <row r="66" ht="16" customHeight="1">
      <c r="A66" s="38" t="n"/>
      <c r="B66" s="40" t="n"/>
      <c r="C66" s="39" t="n"/>
      <c r="D66" s="36" t="n"/>
      <c r="E66" s="74" t="n"/>
      <c r="F66" s="70">
        <f>IF(AND(ISNUMBER(C66),C66&gt;0),C66*IF(ISNUMBER(E66),E66,1),"")</f>
        <v/>
      </c>
      <c r="G66" s="75">
        <f>IF(AND(ISNUMBER(B66),ISNUMBER(F66)),IF(F66&gt;0,B66/F66,""),"")</f>
        <v/>
      </c>
      <c r="H66" s="33" t="n"/>
      <c r="I66" s="35" t="n"/>
      <c r="J66" s="34">
        <f>IF(TRIM(A66)="",IF(COUNTA(B66:E66,H66:I66)&gt;0,"食材名がありません",""),IF(COUNTIF($A$5:$A$204,A66)&gt;1,"同じ食材名があります",IF(NOT(ISNUMBER(B66)),"仕入価格がありません",IF(NOT(ISNUMBER(C66)),"仕入量がありません",IF(C66&lt;=0,"仕入量がありません",IF(AND(ISNUMBER(E66),OR(E66&lt;=0,E66&gt;1)),"歩留まりは1〜100%で入れます",IF(TRIM(D66)="","単位がありません（g・ml・個など）","")))))))</f>
        <v/>
      </c>
    </row>
    <row r="67" ht="16" customHeight="1">
      <c r="A67" s="38" t="n"/>
      <c r="B67" s="40" t="n"/>
      <c r="C67" s="39" t="n"/>
      <c r="D67" s="36" t="n"/>
      <c r="E67" s="74" t="n"/>
      <c r="F67" s="70">
        <f>IF(AND(ISNUMBER(C67),C67&gt;0),C67*IF(ISNUMBER(E67),E67,1),"")</f>
        <v/>
      </c>
      <c r="G67" s="75">
        <f>IF(AND(ISNUMBER(B67),ISNUMBER(F67)),IF(F67&gt;0,B67/F67,""),"")</f>
        <v/>
      </c>
      <c r="H67" s="33" t="n"/>
      <c r="I67" s="35" t="n"/>
      <c r="J67" s="34">
        <f>IF(TRIM(A67)="",IF(COUNTA(B67:E67,H67:I67)&gt;0,"食材名がありません",""),IF(COUNTIF($A$5:$A$204,A67)&gt;1,"同じ食材名があります",IF(NOT(ISNUMBER(B67)),"仕入価格がありません",IF(NOT(ISNUMBER(C67)),"仕入量がありません",IF(C67&lt;=0,"仕入量がありません",IF(AND(ISNUMBER(E67),OR(E67&lt;=0,E67&gt;1)),"歩留まりは1〜100%で入れます",IF(TRIM(D67)="","単位がありません（g・ml・個など）","")))))))</f>
        <v/>
      </c>
    </row>
    <row r="68" ht="16" customHeight="1">
      <c r="A68" s="38" t="n"/>
      <c r="B68" s="40" t="n"/>
      <c r="C68" s="39" t="n"/>
      <c r="D68" s="36" t="n"/>
      <c r="E68" s="74" t="n"/>
      <c r="F68" s="70">
        <f>IF(AND(ISNUMBER(C68),C68&gt;0),C68*IF(ISNUMBER(E68),E68,1),"")</f>
        <v/>
      </c>
      <c r="G68" s="75">
        <f>IF(AND(ISNUMBER(B68),ISNUMBER(F68)),IF(F68&gt;0,B68/F68,""),"")</f>
        <v/>
      </c>
      <c r="H68" s="33" t="n"/>
      <c r="I68" s="35" t="n"/>
      <c r="J68" s="34">
        <f>IF(TRIM(A68)="",IF(COUNTA(B68:E68,H68:I68)&gt;0,"食材名がありません",""),IF(COUNTIF($A$5:$A$204,A68)&gt;1,"同じ食材名があります",IF(NOT(ISNUMBER(B68)),"仕入価格がありません",IF(NOT(ISNUMBER(C68)),"仕入量がありません",IF(C68&lt;=0,"仕入量がありません",IF(AND(ISNUMBER(E68),OR(E68&lt;=0,E68&gt;1)),"歩留まりは1〜100%で入れます",IF(TRIM(D68)="","単位がありません（g・ml・個など）","")))))))</f>
        <v/>
      </c>
    </row>
    <row r="69" ht="16" customHeight="1">
      <c r="A69" s="38" t="n"/>
      <c r="B69" s="40" t="n"/>
      <c r="C69" s="39" t="n"/>
      <c r="D69" s="36" t="n"/>
      <c r="E69" s="74" t="n"/>
      <c r="F69" s="70">
        <f>IF(AND(ISNUMBER(C69),C69&gt;0),C69*IF(ISNUMBER(E69),E69,1),"")</f>
        <v/>
      </c>
      <c r="G69" s="75">
        <f>IF(AND(ISNUMBER(B69),ISNUMBER(F69)),IF(F69&gt;0,B69/F69,""),"")</f>
        <v/>
      </c>
      <c r="H69" s="33" t="n"/>
      <c r="I69" s="35" t="n"/>
      <c r="J69" s="34">
        <f>IF(TRIM(A69)="",IF(COUNTA(B69:E69,H69:I69)&gt;0,"食材名がありません",""),IF(COUNTIF($A$5:$A$204,A69)&gt;1,"同じ食材名があります",IF(NOT(ISNUMBER(B69)),"仕入価格がありません",IF(NOT(ISNUMBER(C69)),"仕入量がありません",IF(C69&lt;=0,"仕入量がありません",IF(AND(ISNUMBER(E69),OR(E69&lt;=0,E69&gt;1)),"歩留まりは1〜100%で入れます",IF(TRIM(D69)="","単位がありません（g・ml・個など）","")))))))</f>
        <v/>
      </c>
    </row>
    <row r="70" ht="16" customHeight="1">
      <c r="A70" s="38" t="n"/>
      <c r="B70" s="40" t="n"/>
      <c r="C70" s="39" t="n"/>
      <c r="D70" s="36" t="n"/>
      <c r="E70" s="74" t="n"/>
      <c r="F70" s="70">
        <f>IF(AND(ISNUMBER(C70),C70&gt;0),C70*IF(ISNUMBER(E70),E70,1),"")</f>
        <v/>
      </c>
      <c r="G70" s="75">
        <f>IF(AND(ISNUMBER(B70),ISNUMBER(F70)),IF(F70&gt;0,B70/F70,""),"")</f>
        <v/>
      </c>
      <c r="H70" s="33" t="n"/>
      <c r="I70" s="35" t="n"/>
      <c r="J70" s="34">
        <f>IF(TRIM(A70)="",IF(COUNTA(B70:E70,H70:I70)&gt;0,"食材名がありません",""),IF(COUNTIF($A$5:$A$204,A70)&gt;1,"同じ食材名があります",IF(NOT(ISNUMBER(B70)),"仕入価格がありません",IF(NOT(ISNUMBER(C70)),"仕入量がありません",IF(C70&lt;=0,"仕入量がありません",IF(AND(ISNUMBER(E70),OR(E70&lt;=0,E70&gt;1)),"歩留まりは1〜100%で入れます",IF(TRIM(D70)="","単位がありません（g・ml・個など）","")))))))</f>
        <v/>
      </c>
    </row>
    <row r="71" ht="16" customHeight="1">
      <c r="A71" s="38" t="n"/>
      <c r="B71" s="40" t="n"/>
      <c r="C71" s="39" t="n"/>
      <c r="D71" s="36" t="n"/>
      <c r="E71" s="74" t="n"/>
      <c r="F71" s="70">
        <f>IF(AND(ISNUMBER(C71),C71&gt;0),C71*IF(ISNUMBER(E71),E71,1),"")</f>
        <v/>
      </c>
      <c r="G71" s="75">
        <f>IF(AND(ISNUMBER(B71),ISNUMBER(F71)),IF(F71&gt;0,B71/F71,""),"")</f>
        <v/>
      </c>
      <c r="H71" s="33" t="n"/>
      <c r="I71" s="35" t="n"/>
      <c r="J71" s="34">
        <f>IF(TRIM(A71)="",IF(COUNTA(B71:E71,H71:I71)&gt;0,"食材名がありません",""),IF(COUNTIF($A$5:$A$204,A71)&gt;1,"同じ食材名があります",IF(NOT(ISNUMBER(B71)),"仕入価格がありません",IF(NOT(ISNUMBER(C71)),"仕入量がありません",IF(C71&lt;=0,"仕入量がありません",IF(AND(ISNUMBER(E71),OR(E71&lt;=0,E71&gt;1)),"歩留まりは1〜100%で入れます",IF(TRIM(D71)="","単位がありません（g・ml・個など）","")))))))</f>
        <v/>
      </c>
    </row>
    <row r="72" ht="16" customHeight="1">
      <c r="A72" s="38" t="n"/>
      <c r="B72" s="40" t="n"/>
      <c r="C72" s="39" t="n"/>
      <c r="D72" s="36" t="n"/>
      <c r="E72" s="74" t="n"/>
      <c r="F72" s="70">
        <f>IF(AND(ISNUMBER(C72),C72&gt;0),C72*IF(ISNUMBER(E72),E72,1),"")</f>
        <v/>
      </c>
      <c r="G72" s="75">
        <f>IF(AND(ISNUMBER(B72),ISNUMBER(F72)),IF(F72&gt;0,B72/F72,""),"")</f>
        <v/>
      </c>
      <c r="H72" s="33" t="n"/>
      <c r="I72" s="35" t="n"/>
      <c r="J72" s="34">
        <f>IF(TRIM(A72)="",IF(COUNTA(B72:E72,H72:I72)&gt;0,"食材名がありません",""),IF(COUNTIF($A$5:$A$204,A72)&gt;1,"同じ食材名があります",IF(NOT(ISNUMBER(B72)),"仕入価格がありません",IF(NOT(ISNUMBER(C72)),"仕入量がありません",IF(C72&lt;=0,"仕入量がありません",IF(AND(ISNUMBER(E72),OR(E72&lt;=0,E72&gt;1)),"歩留まりは1〜100%で入れます",IF(TRIM(D72)="","単位がありません（g・ml・個など）","")))))))</f>
        <v/>
      </c>
    </row>
    <row r="73" ht="16" customHeight="1">
      <c r="A73" s="38" t="n"/>
      <c r="B73" s="40" t="n"/>
      <c r="C73" s="39" t="n"/>
      <c r="D73" s="36" t="n"/>
      <c r="E73" s="74" t="n"/>
      <c r="F73" s="70">
        <f>IF(AND(ISNUMBER(C73),C73&gt;0),C73*IF(ISNUMBER(E73),E73,1),"")</f>
        <v/>
      </c>
      <c r="G73" s="75">
        <f>IF(AND(ISNUMBER(B73),ISNUMBER(F73)),IF(F73&gt;0,B73/F73,""),"")</f>
        <v/>
      </c>
      <c r="H73" s="33" t="n"/>
      <c r="I73" s="35" t="n"/>
      <c r="J73" s="34">
        <f>IF(TRIM(A73)="",IF(COUNTA(B73:E73,H73:I73)&gt;0,"食材名がありません",""),IF(COUNTIF($A$5:$A$204,A73)&gt;1,"同じ食材名があります",IF(NOT(ISNUMBER(B73)),"仕入価格がありません",IF(NOT(ISNUMBER(C73)),"仕入量がありません",IF(C73&lt;=0,"仕入量がありません",IF(AND(ISNUMBER(E73),OR(E73&lt;=0,E73&gt;1)),"歩留まりは1〜100%で入れます",IF(TRIM(D73)="","単位がありません（g・ml・個など）","")))))))</f>
        <v/>
      </c>
    </row>
    <row r="74" ht="16" customHeight="1">
      <c r="A74" s="38" t="n"/>
      <c r="B74" s="40" t="n"/>
      <c r="C74" s="39" t="n"/>
      <c r="D74" s="36" t="n"/>
      <c r="E74" s="74" t="n"/>
      <c r="F74" s="70">
        <f>IF(AND(ISNUMBER(C74),C74&gt;0),C74*IF(ISNUMBER(E74),E74,1),"")</f>
        <v/>
      </c>
      <c r="G74" s="75">
        <f>IF(AND(ISNUMBER(B74),ISNUMBER(F74)),IF(F74&gt;0,B74/F74,""),"")</f>
        <v/>
      </c>
      <c r="H74" s="33" t="n"/>
      <c r="I74" s="35" t="n"/>
      <c r="J74" s="34">
        <f>IF(TRIM(A74)="",IF(COUNTA(B74:E74,H74:I74)&gt;0,"食材名がありません",""),IF(COUNTIF($A$5:$A$204,A74)&gt;1,"同じ食材名があります",IF(NOT(ISNUMBER(B74)),"仕入価格がありません",IF(NOT(ISNUMBER(C74)),"仕入量がありません",IF(C74&lt;=0,"仕入量がありません",IF(AND(ISNUMBER(E74),OR(E74&lt;=0,E74&gt;1)),"歩留まりは1〜100%で入れます",IF(TRIM(D74)="","単位がありません（g・ml・個など）","")))))))</f>
        <v/>
      </c>
    </row>
    <row r="75" ht="16" customHeight="1">
      <c r="A75" s="38" t="n"/>
      <c r="B75" s="40" t="n"/>
      <c r="C75" s="39" t="n"/>
      <c r="D75" s="36" t="n"/>
      <c r="E75" s="74" t="n"/>
      <c r="F75" s="70">
        <f>IF(AND(ISNUMBER(C75),C75&gt;0),C75*IF(ISNUMBER(E75),E75,1),"")</f>
        <v/>
      </c>
      <c r="G75" s="75">
        <f>IF(AND(ISNUMBER(B75),ISNUMBER(F75)),IF(F75&gt;0,B75/F75,""),"")</f>
        <v/>
      </c>
      <c r="H75" s="33" t="n"/>
      <c r="I75" s="35" t="n"/>
      <c r="J75" s="34">
        <f>IF(TRIM(A75)="",IF(COUNTA(B75:E75,H75:I75)&gt;0,"食材名がありません",""),IF(COUNTIF($A$5:$A$204,A75)&gt;1,"同じ食材名があります",IF(NOT(ISNUMBER(B75)),"仕入価格がありません",IF(NOT(ISNUMBER(C75)),"仕入量がありません",IF(C75&lt;=0,"仕入量がありません",IF(AND(ISNUMBER(E75),OR(E75&lt;=0,E75&gt;1)),"歩留まりは1〜100%で入れます",IF(TRIM(D75)="","単位がありません（g・ml・個など）","")))))))</f>
        <v/>
      </c>
    </row>
    <row r="76" ht="16" customHeight="1">
      <c r="A76" s="38" t="n"/>
      <c r="B76" s="40" t="n"/>
      <c r="C76" s="39" t="n"/>
      <c r="D76" s="36" t="n"/>
      <c r="E76" s="74" t="n"/>
      <c r="F76" s="70">
        <f>IF(AND(ISNUMBER(C76),C76&gt;0),C76*IF(ISNUMBER(E76),E76,1),"")</f>
        <v/>
      </c>
      <c r="G76" s="75">
        <f>IF(AND(ISNUMBER(B76),ISNUMBER(F76)),IF(F76&gt;0,B76/F76,""),"")</f>
        <v/>
      </c>
      <c r="H76" s="33" t="n"/>
      <c r="I76" s="35" t="n"/>
      <c r="J76" s="34">
        <f>IF(TRIM(A76)="",IF(COUNTA(B76:E76,H76:I76)&gt;0,"食材名がありません",""),IF(COUNTIF($A$5:$A$204,A76)&gt;1,"同じ食材名があります",IF(NOT(ISNUMBER(B76)),"仕入価格がありません",IF(NOT(ISNUMBER(C76)),"仕入量がありません",IF(C76&lt;=0,"仕入量がありません",IF(AND(ISNUMBER(E76),OR(E76&lt;=0,E76&gt;1)),"歩留まりは1〜100%で入れます",IF(TRIM(D76)="","単位がありません（g・ml・個など）","")))))))</f>
        <v/>
      </c>
    </row>
    <row r="77" ht="16" customHeight="1">
      <c r="A77" s="38" t="n"/>
      <c r="B77" s="40" t="n"/>
      <c r="C77" s="39" t="n"/>
      <c r="D77" s="36" t="n"/>
      <c r="E77" s="74" t="n"/>
      <c r="F77" s="70">
        <f>IF(AND(ISNUMBER(C77),C77&gt;0),C77*IF(ISNUMBER(E77),E77,1),"")</f>
        <v/>
      </c>
      <c r="G77" s="75">
        <f>IF(AND(ISNUMBER(B77),ISNUMBER(F77)),IF(F77&gt;0,B77/F77,""),"")</f>
        <v/>
      </c>
      <c r="H77" s="33" t="n"/>
      <c r="I77" s="35" t="n"/>
      <c r="J77" s="34">
        <f>IF(TRIM(A77)="",IF(COUNTA(B77:E77,H77:I77)&gt;0,"食材名がありません",""),IF(COUNTIF($A$5:$A$204,A77)&gt;1,"同じ食材名があります",IF(NOT(ISNUMBER(B77)),"仕入価格がありません",IF(NOT(ISNUMBER(C77)),"仕入量がありません",IF(C77&lt;=0,"仕入量がありません",IF(AND(ISNUMBER(E77),OR(E77&lt;=0,E77&gt;1)),"歩留まりは1〜100%で入れます",IF(TRIM(D77)="","単位がありません（g・ml・個など）","")))))))</f>
        <v/>
      </c>
    </row>
    <row r="78" ht="16" customHeight="1">
      <c r="A78" s="38" t="n"/>
      <c r="B78" s="40" t="n"/>
      <c r="C78" s="39" t="n"/>
      <c r="D78" s="36" t="n"/>
      <c r="E78" s="74" t="n"/>
      <c r="F78" s="70">
        <f>IF(AND(ISNUMBER(C78),C78&gt;0),C78*IF(ISNUMBER(E78),E78,1),"")</f>
        <v/>
      </c>
      <c r="G78" s="75">
        <f>IF(AND(ISNUMBER(B78),ISNUMBER(F78)),IF(F78&gt;0,B78/F78,""),"")</f>
        <v/>
      </c>
      <c r="H78" s="33" t="n"/>
      <c r="I78" s="35" t="n"/>
      <c r="J78" s="34">
        <f>IF(TRIM(A78)="",IF(COUNTA(B78:E78,H78:I78)&gt;0,"食材名がありません",""),IF(COUNTIF($A$5:$A$204,A78)&gt;1,"同じ食材名があります",IF(NOT(ISNUMBER(B78)),"仕入価格がありません",IF(NOT(ISNUMBER(C78)),"仕入量がありません",IF(C78&lt;=0,"仕入量がありません",IF(AND(ISNUMBER(E78),OR(E78&lt;=0,E78&gt;1)),"歩留まりは1〜100%で入れます",IF(TRIM(D78)="","単位がありません（g・ml・個など）","")))))))</f>
        <v/>
      </c>
    </row>
    <row r="79" ht="16" customHeight="1">
      <c r="A79" s="38" t="n"/>
      <c r="B79" s="40" t="n"/>
      <c r="C79" s="39" t="n"/>
      <c r="D79" s="36" t="n"/>
      <c r="E79" s="74" t="n"/>
      <c r="F79" s="70">
        <f>IF(AND(ISNUMBER(C79),C79&gt;0),C79*IF(ISNUMBER(E79),E79,1),"")</f>
        <v/>
      </c>
      <c r="G79" s="75">
        <f>IF(AND(ISNUMBER(B79),ISNUMBER(F79)),IF(F79&gt;0,B79/F79,""),"")</f>
        <v/>
      </c>
      <c r="H79" s="33" t="n"/>
      <c r="I79" s="35" t="n"/>
      <c r="J79" s="34">
        <f>IF(TRIM(A79)="",IF(COUNTA(B79:E79,H79:I79)&gt;0,"食材名がありません",""),IF(COUNTIF($A$5:$A$204,A79)&gt;1,"同じ食材名があります",IF(NOT(ISNUMBER(B79)),"仕入価格がありません",IF(NOT(ISNUMBER(C79)),"仕入量がありません",IF(C79&lt;=0,"仕入量がありません",IF(AND(ISNUMBER(E79),OR(E79&lt;=0,E79&gt;1)),"歩留まりは1〜100%で入れます",IF(TRIM(D79)="","単位がありません（g・ml・個など）","")))))))</f>
        <v/>
      </c>
    </row>
    <row r="80" ht="16" customHeight="1">
      <c r="A80" s="38" t="n"/>
      <c r="B80" s="40" t="n"/>
      <c r="C80" s="39" t="n"/>
      <c r="D80" s="36" t="n"/>
      <c r="E80" s="74" t="n"/>
      <c r="F80" s="70">
        <f>IF(AND(ISNUMBER(C80),C80&gt;0),C80*IF(ISNUMBER(E80),E80,1),"")</f>
        <v/>
      </c>
      <c r="G80" s="75">
        <f>IF(AND(ISNUMBER(B80),ISNUMBER(F80)),IF(F80&gt;0,B80/F80,""),"")</f>
        <v/>
      </c>
      <c r="H80" s="33" t="n"/>
      <c r="I80" s="35" t="n"/>
      <c r="J80" s="34">
        <f>IF(TRIM(A80)="",IF(COUNTA(B80:E80,H80:I80)&gt;0,"食材名がありません",""),IF(COUNTIF($A$5:$A$204,A80)&gt;1,"同じ食材名があります",IF(NOT(ISNUMBER(B80)),"仕入価格がありません",IF(NOT(ISNUMBER(C80)),"仕入量がありません",IF(C80&lt;=0,"仕入量がありません",IF(AND(ISNUMBER(E80),OR(E80&lt;=0,E80&gt;1)),"歩留まりは1〜100%で入れます",IF(TRIM(D80)="","単位がありません（g・ml・個など）","")))))))</f>
        <v/>
      </c>
    </row>
    <row r="81" ht="16" customHeight="1">
      <c r="A81" s="38" t="n"/>
      <c r="B81" s="40" t="n"/>
      <c r="C81" s="39" t="n"/>
      <c r="D81" s="36" t="n"/>
      <c r="E81" s="74" t="n"/>
      <c r="F81" s="70">
        <f>IF(AND(ISNUMBER(C81),C81&gt;0),C81*IF(ISNUMBER(E81),E81,1),"")</f>
        <v/>
      </c>
      <c r="G81" s="75">
        <f>IF(AND(ISNUMBER(B81),ISNUMBER(F81)),IF(F81&gt;0,B81/F81,""),"")</f>
        <v/>
      </c>
      <c r="H81" s="33" t="n"/>
      <c r="I81" s="35" t="n"/>
      <c r="J81" s="34">
        <f>IF(TRIM(A81)="",IF(COUNTA(B81:E81,H81:I81)&gt;0,"食材名がありません",""),IF(COUNTIF($A$5:$A$204,A81)&gt;1,"同じ食材名があります",IF(NOT(ISNUMBER(B81)),"仕入価格がありません",IF(NOT(ISNUMBER(C81)),"仕入量がありません",IF(C81&lt;=0,"仕入量がありません",IF(AND(ISNUMBER(E81),OR(E81&lt;=0,E81&gt;1)),"歩留まりは1〜100%で入れます",IF(TRIM(D81)="","単位がありません（g・ml・個など）","")))))))</f>
        <v/>
      </c>
    </row>
    <row r="82" ht="16" customHeight="1">
      <c r="A82" s="38" t="n"/>
      <c r="B82" s="40" t="n"/>
      <c r="C82" s="39" t="n"/>
      <c r="D82" s="36" t="n"/>
      <c r="E82" s="74" t="n"/>
      <c r="F82" s="70">
        <f>IF(AND(ISNUMBER(C82),C82&gt;0),C82*IF(ISNUMBER(E82),E82,1),"")</f>
        <v/>
      </c>
      <c r="G82" s="75">
        <f>IF(AND(ISNUMBER(B82),ISNUMBER(F82)),IF(F82&gt;0,B82/F82,""),"")</f>
        <v/>
      </c>
      <c r="H82" s="33" t="n"/>
      <c r="I82" s="35" t="n"/>
      <c r="J82" s="34">
        <f>IF(TRIM(A82)="",IF(COUNTA(B82:E82,H82:I82)&gt;0,"食材名がありません",""),IF(COUNTIF($A$5:$A$204,A82)&gt;1,"同じ食材名があります",IF(NOT(ISNUMBER(B82)),"仕入価格がありません",IF(NOT(ISNUMBER(C82)),"仕入量がありません",IF(C82&lt;=0,"仕入量がありません",IF(AND(ISNUMBER(E82),OR(E82&lt;=0,E82&gt;1)),"歩留まりは1〜100%で入れます",IF(TRIM(D82)="","単位がありません（g・ml・個など）","")))))))</f>
        <v/>
      </c>
    </row>
    <row r="83" ht="16" customHeight="1">
      <c r="A83" s="38" t="n"/>
      <c r="B83" s="40" t="n"/>
      <c r="C83" s="39" t="n"/>
      <c r="D83" s="36" t="n"/>
      <c r="E83" s="74" t="n"/>
      <c r="F83" s="70">
        <f>IF(AND(ISNUMBER(C83),C83&gt;0),C83*IF(ISNUMBER(E83),E83,1),"")</f>
        <v/>
      </c>
      <c r="G83" s="75">
        <f>IF(AND(ISNUMBER(B83),ISNUMBER(F83)),IF(F83&gt;0,B83/F83,""),"")</f>
        <v/>
      </c>
      <c r="H83" s="33" t="n"/>
      <c r="I83" s="35" t="n"/>
      <c r="J83" s="34">
        <f>IF(TRIM(A83)="",IF(COUNTA(B83:E83,H83:I83)&gt;0,"食材名がありません",""),IF(COUNTIF($A$5:$A$204,A83)&gt;1,"同じ食材名があります",IF(NOT(ISNUMBER(B83)),"仕入価格がありません",IF(NOT(ISNUMBER(C83)),"仕入量がありません",IF(C83&lt;=0,"仕入量がありません",IF(AND(ISNUMBER(E83),OR(E83&lt;=0,E83&gt;1)),"歩留まりは1〜100%で入れます",IF(TRIM(D83)="","単位がありません（g・ml・個など）","")))))))</f>
        <v/>
      </c>
    </row>
    <row r="84" ht="16" customHeight="1">
      <c r="A84" s="38" t="n"/>
      <c r="B84" s="40" t="n"/>
      <c r="C84" s="39" t="n"/>
      <c r="D84" s="36" t="n"/>
      <c r="E84" s="74" t="n"/>
      <c r="F84" s="70">
        <f>IF(AND(ISNUMBER(C84),C84&gt;0),C84*IF(ISNUMBER(E84),E84,1),"")</f>
        <v/>
      </c>
      <c r="G84" s="75">
        <f>IF(AND(ISNUMBER(B84),ISNUMBER(F84)),IF(F84&gt;0,B84/F84,""),"")</f>
        <v/>
      </c>
      <c r="H84" s="33" t="n"/>
      <c r="I84" s="35" t="n"/>
      <c r="J84" s="34">
        <f>IF(TRIM(A84)="",IF(COUNTA(B84:E84,H84:I84)&gt;0,"食材名がありません",""),IF(COUNTIF($A$5:$A$204,A84)&gt;1,"同じ食材名があります",IF(NOT(ISNUMBER(B84)),"仕入価格がありません",IF(NOT(ISNUMBER(C84)),"仕入量がありません",IF(C84&lt;=0,"仕入量がありません",IF(AND(ISNUMBER(E84),OR(E84&lt;=0,E84&gt;1)),"歩留まりは1〜100%で入れます",IF(TRIM(D84)="","単位がありません（g・ml・個など）","")))))))</f>
        <v/>
      </c>
    </row>
    <row r="85" ht="16" customHeight="1">
      <c r="A85" s="38" t="n"/>
      <c r="B85" s="40" t="n"/>
      <c r="C85" s="39" t="n"/>
      <c r="D85" s="36" t="n"/>
      <c r="E85" s="74" t="n"/>
      <c r="F85" s="70">
        <f>IF(AND(ISNUMBER(C85),C85&gt;0),C85*IF(ISNUMBER(E85),E85,1),"")</f>
        <v/>
      </c>
      <c r="G85" s="75">
        <f>IF(AND(ISNUMBER(B85),ISNUMBER(F85)),IF(F85&gt;0,B85/F85,""),"")</f>
        <v/>
      </c>
      <c r="H85" s="33" t="n"/>
      <c r="I85" s="35" t="n"/>
      <c r="J85" s="34">
        <f>IF(TRIM(A85)="",IF(COUNTA(B85:E85,H85:I85)&gt;0,"食材名がありません",""),IF(COUNTIF($A$5:$A$204,A85)&gt;1,"同じ食材名があります",IF(NOT(ISNUMBER(B85)),"仕入価格がありません",IF(NOT(ISNUMBER(C85)),"仕入量がありません",IF(C85&lt;=0,"仕入量がありません",IF(AND(ISNUMBER(E85),OR(E85&lt;=0,E85&gt;1)),"歩留まりは1〜100%で入れます",IF(TRIM(D85)="","単位がありません（g・ml・個など）","")))))))</f>
        <v/>
      </c>
    </row>
    <row r="86" ht="16" customHeight="1">
      <c r="A86" s="38" t="n"/>
      <c r="B86" s="40" t="n"/>
      <c r="C86" s="39" t="n"/>
      <c r="D86" s="36" t="n"/>
      <c r="E86" s="74" t="n"/>
      <c r="F86" s="70">
        <f>IF(AND(ISNUMBER(C86),C86&gt;0),C86*IF(ISNUMBER(E86),E86,1),"")</f>
        <v/>
      </c>
      <c r="G86" s="75">
        <f>IF(AND(ISNUMBER(B86),ISNUMBER(F86)),IF(F86&gt;0,B86/F86,""),"")</f>
        <v/>
      </c>
      <c r="H86" s="33" t="n"/>
      <c r="I86" s="35" t="n"/>
      <c r="J86" s="34">
        <f>IF(TRIM(A86)="",IF(COUNTA(B86:E86,H86:I86)&gt;0,"食材名がありません",""),IF(COUNTIF($A$5:$A$204,A86)&gt;1,"同じ食材名があります",IF(NOT(ISNUMBER(B86)),"仕入価格がありません",IF(NOT(ISNUMBER(C86)),"仕入量がありません",IF(C86&lt;=0,"仕入量がありません",IF(AND(ISNUMBER(E86),OR(E86&lt;=0,E86&gt;1)),"歩留まりは1〜100%で入れます",IF(TRIM(D86)="","単位がありません（g・ml・個など）","")))))))</f>
        <v/>
      </c>
    </row>
    <row r="87" ht="16" customHeight="1">
      <c r="A87" s="38" t="n"/>
      <c r="B87" s="40" t="n"/>
      <c r="C87" s="39" t="n"/>
      <c r="D87" s="36" t="n"/>
      <c r="E87" s="74" t="n"/>
      <c r="F87" s="70">
        <f>IF(AND(ISNUMBER(C87),C87&gt;0),C87*IF(ISNUMBER(E87),E87,1),"")</f>
        <v/>
      </c>
      <c r="G87" s="75">
        <f>IF(AND(ISNUMBER(B87),ISNUMBER(F87)),IF(F87&gt;0,B87/F87,""),"")</f>
        <v/>
      </c>
      <c r="H87" s="33" t="n"/>
      <c r="I87" s="35" t="n"/>
      <c r="J87" s="34">
        <f>IF(TRIM(A87)="",IF(COUNTA(B87:E87,H87:I87)&gt;0,"食材名がありません",""),IF(COUNTIF($A$5:$A$204,A87)&gt;1,"同じ食材名があります",IF(NOT(ISNUMBER(B87)),"仕入価格がありません",IF(NOT(ISNUMBER(C87)),"仕入量がありません",IF(C87&lt;=0,"仕入量がありません",IF(AND(ISNUMBER(E87),OR(E87&lt;=0,E87&gt;1)),"歩留まりは1〜100%で入れます",IF(TRIM(D87)="","単位がありません（g・ml・個など）","")))))))</f>
        <v/>
      </c>
    </row>
    <row r="88" ht="16" customHeight="1">
      <c r="A88" s="38" t="n"/>
      <c r="B88" s="40" t="n"/>
      <c r="C88" s="39" t="n"/>
      <c r="D88" s="36" t="n"/>
      <c r="E88" s="74" t="n"/>
      <c r="F88" s="70">
        <f>IF(AND(ISNUMBER(C88),C88&gt;0),C88*IF(ISNUMBER(E88),E88,1),"")</f>
        <v/>
      </c>
      <c r="G88" s="75">
        <f>IF(AND(ISNUMBER(B88),ISNUMBER(F88)),IF(F88&gt;0,B88/F88,""),"")</f>
        <v/>
      </c>
      <c r="H88" s="33" t="n"/>
      <c r="I88" s="35" t="n"/>
      <c r="J88" s="34">
        <f>IF(TRIM(A88)="",IF(COUNTA(B88:E88,H88:I88)&gt;0,"食材名がありません",""),IF(COUNTIF($A$5:$A$204,A88)&gt;1,"同じ食材名があります",IF(NOT(ISNUMBER(B88)),"仕入価格がありません",IF(NOT(ISNUMBER(C88)),"仕入量がありません",IF(C88&lt;=0,"仕入量がありません",IF(AND(ISNUMBER(E88),OR(E88&lt;=0,E88&gt;1)),"歩留まりは1〜100%で入れます",IF(TRIM(D88)="","単位がありません（g・ml・個など）","")))))))</f>
        <v/>
      </c>
    </row>
    <row r="89" ht="16" customHeight="1">
      <c r="A89" s="38" t="n"/>
      <c r="B89" s="40" t="n"/>
      <c r="C89" s="39" t="n"/>
      <c r="D89" s="36" t="n"/>
      <c r="E89" s="74" t="n"/>
      <c r="F89" s="70">
        <f>IF(AND(ISNUMBER(C89),C89&gt;0),C89*IF(ISNUMBER(E89),E89,1),"")</f>
        <v/>
      </c>
      <c r="G89" s="75">
        <f>IF(AND(ISNUMBER(B89),ISNUMBER(F89)),IF(F89&gt;0,B89/F89,""),"")</f>
        <v/>
      </c>
      <c r="H89" s="33" t="n"/>
      <c r="I89" s="35" t="n"/>
      <c r="J89" s="34">
        <f>IF(TRIM(A89)="",IF(COUNTA(B89:E89,H89:I89)&gt;0,"食材名がありません",""),IF(COUNTIF($A$5:$A$204,A89)&gt;1,"同じ食材名があります",IF(NOT(ISNUMBER(B89)),"仕入価格がありません",IF(NOT(ISNUMBER(C89)),"仕入量がありません",IF(C89&lt;=0,"仕入量がありません",IF(AND(ISNUMBER(E89),OR(E89&lt;=0,E89&gt;1)),"歩留まりは1〜100%で入れます",IF(TRIM(D89)="","単位がありません（g・ml・個など）","")))))))</f>
        <v/>
      </c>
    </row>
    <row r="90" ht="16" customHeight="1">
      <c r="A90" s="38" t="n"/>
      <c r="B90" s="40" t="n"/>
      <c r="C90" s="39" t="n"/>
      <c r="D90" s="36" t="n"/>
      <c r="E90" s="74" t="n"/>
      <c r="F90" s="70">
        <f>IF(AND(ISNUMBER(C90),C90&gt;0),C90*IF(ISNUMBER(E90),E90,1),"")</f>
        <v/>
      </c>
      <c r="G90" s="75">
        <f>IF(AND(ISNUMBER(B90),ISNUMBER(F90)),IF(F90&gt;0,B90/F90,""),"")</f>
        <v/>
      </c>
      <c r="H90" s="33" t="n"/>
      <c r="I90" s="35" t="n"/>
      <c r="J90" s="34">
        <f>IF(TRIM(A90)="",IF(COUNTA(B90:E90,H90:I90)&gt;0,"食材名がありません",""),IF(COUNTIF($A$5:$A$204,A90)&gt;1,"同じ食材名があります",IF(NOT(ISNUMBER(B90)),"仕入価格がありません",IF(NOT(ISNUMBER(C90)),"仕入量がありません",IF(C90&lt;=0,"仕入量がありません",IF(AND(ISNUMBER(E90),OR(E90&lt;=0,E90&gt;1)),"歩留まりは1〜100%で入れます",IF(TRIM(D90)="","単位がありません（g・ml・個など）","")))))))</f>
        <v/>
      </c>
    </row>
    <row r="91" ht="16" customHeight="1">
      <c r="A91" s="38" t="n"/>
      <c r="B91" s="40" t="n"/>
      <c r="C91" s="39" t="n"/>
      <c r="D91" s="36" t="n"/>
      <c r="E91" s="74" t="n"/>
      <c r="F91" s="70">
        <f>IF(AND(ISNUMBER(C91),C91&gt;0),C91*IF(ISNUMBER(E91),E91,1),"")</f>
        <v/>
      </c>
      <c r="G91" s="75">
        <f>IF(AND(ISNUMBER(B91),ISNUMBER(F91)),IF(F91&gt;0,B91/F91,""),"")</f>
        <v/>
      </c>
      <c r="H91" s="33" t="n"/>
      <c r="I91" s="35" t="n"/>
      <c r="J91" s="34">
        <f>IF(TRIM(A91)="",IF(COUNTA(B91:E91,H91:I91)&gt;0,"食材名がありません",""),IF(COUNTIF($A$5:$A$204,A91)&gt;1,"同じ食材名があります",IF(NOT(ISNUMBER(B91)),"仕入価格がありません",IF(NOT(ISNUMBER(C91)),"仕入量がありません",IF(C91&lt;=0,"仕入量がありません",IF(AND(ISNUMBER(E91),OR(E91&lt;=0,E91&gt;1)),"歩留まりは1〜100%で入れます",IF(TRIM(D91)="","単位がありません（g・ml・個など）","")))))))</f>
        <v/>
      </c>
    </row>
    <row r="92" ht="16" customHeight="1">
      <c r="A92" s="38" t="n"/>
      <c r="B92" s="40" t="n"/>
      <c r="C92" s="39" t="n"/>
      <c r="D92" s="36" t="n"/>
      <c r="E92" s="74" t="n"/>
      <c r="F92" s="70">
        <f>IF(AND(ISNUMBER(C92),C92&gt;0),C92*IF(ISNUMBER(E92),E92,1),"")</f>
        <v/>
      </c>
      <c r="G92" s="75">
        <f>IF(AND(ISNUMBER(B92),ISNUMBER(F92)),IF(F92&gt;0,B92/F92,""),"")</f>
        <v/>
      </c>
      <c r="H92" s="33" t="n"/>
      <c r="I92" s="35" t="n"/>
      <c r="J92" s="34">
        <f>IF(TRIM(A92)="",IF(COUNTA(B92:E92,H92:I92)&gt;0,"食材名がありません",""),IF(COUNTIF($A$5:$A$204,A92)&gt;1,"同じ食材名があります",IF(NOT(ISNUMBER(B92)),"仕入価格がありません",IF(NOT(ISNUMBER(C92)),"仕入量がありません",IF(C92&lt;=0,"仕入量がありません",IF(AND(ISNUMBER(E92),OR(E92&lt;=0,E92&gt;1)),"歩留まりは1〜100%で入れます",IF(TRIM(D92)="","単位がありません（g・ml・個など）","")))))))</f>
        <v/>
      </c>
    </row>
    <row r="93" ht="16" customHeight="1">
      <c r="A93" s="38" t="n"/>
      <c r="B93" s="40" t="n"/>
      <c r="C93" s="39" t="n"/>
      <c r="D93" s="36" t="n"/>
      <c r="E93" s="74" t="n"/>
      <c r="F93" s="70">
        <f>IF(AND(ISNUMBER(C93),C93&gt;0),C93*IF(ISNUMBER(E93),E93,1),"")</f>
        <v/>
      </c>
      <c r="G93" s="75">
        <f>IF(AND(ISNUMBER(B93),ISNUMBER(F93)),IF(F93&gt;0,B93/F93,""),"")</f>
        <v/>
      </c>
      <c r="H93" s="33" t="n"/>
      <c r="I93" s="35" t="n"/>
      <c r="J93" s="34">
        <f>IF(TRIM(A93)="",IF(COUNTA(B93:E93,H93:I93)&gt;0,"食材名がありません",""),IF(COUNTIF($A$5:$A$204,A93)&gt;1,"同じ食材名があります",IF(NOT(ISNUMBER(B93)),"仕入価格がありません",IF(NOT(ISNUMBER(C93)),"仕入量がありません",IF(C93&lt;=0,"仕入量がありません",IF(AND(ISNUMBER(E93),OR(E93&lt;=0,E93&gt;1)),"歩留まりは1〜100%で入れます",IF(TRIM(D93)="","単位がありません（g・ml・個など）","")))))))</f>
        <v/>
      </c>
    </row>
    <row r="94" ht="16" customHeight="1">
      <c r="A94" s="38" t="n"/>
      <c r="B94" s="40" t="n"/>
      <c r="C94" s="39" t="n"/>
      <c r="D94" s="36" t="n"/>
      <c r="E94" s="74" t="n"/>
      <c r="F94" s="70">
        <f>IF(AND(ISNUMBER(C94),C94&gt;0),C94*IF(ISNUMBER(E94),E94,1),"")</f>
        <v/>
      </c>
      <c r="G94" s="75">
        <f>IF(AND(ISNUMBER(B94),ISNUMBER(F94)),IF(F94&gt;0,B94/F94,""),"")</f>
        <v/>
      </c>
      <c r="H94" s="33" t="n"/>
      <c r="I94" s="35" t="n"/>
      <c r="J94" s="34">
        <f>IF(TRIM(A94)="",IF(COUNTA(B94:E94,H94:I94)&gt;0,"食材名がありません",""),IF(COUNTIF($A$5:$A$204,A94)&gt;1,"同じ食材名があります",IF(NOT(ISNUMBER(B94)),"仕入価格がありません",IF(NOT(ISNUMBER(C94)),"仕入量がありません",IF(C94&lt;=0,"仕入量がありません",IF(AND(ISNUMBER(E94),OR(E94&lt;=0,E94&gt;1)),"歩留まりは1〜100%で入れます",IF(TRIM(D94)="","単位がありません（g・ml・個など）","")))))))</f>
        <v/>
      </c>
    </row>
    <row r="95" ht="16" customHeight="1">
      <c r="A95" s="38" t="n"/>
      <c r="B95" s="40" t="n"/>
      <c r="C95" s="39" t="n"/>
      <c r="D95" s="36" t="n"/>
      <c r="E95" s="74" t="n"/>
      <c r="F95" s="70">
        <f>IF(AND(ISNUMBER(C95),C95&gt;0),C95*IF(ISNUMBER(E95),E95,1),"")</f>
        <v/>
      </c>
      <c r="G95" s="75">
        <f>IF(AND(ISNUMBER(B95),ISNUMBER(F95)),IF(F95&gt;0,B95/F95,""),"")</f>
        <v/>
      </c>
      <c r="H95" s="33" t="n"/>
      <c r="I95" s="35" t="n"/>
      <c r="J95" s="34">
        <f>IF(TRIM(A95)="",IF(COUNTA(B95:E95,H95:I95)&gt;0,"食材名がありません",""),IF(COUNTIF($A$5:$A$204,A95)&gt;1,"同じ食材名があります",IF(NOT(ISNUMBER(B95)),"仕入価格がありません",IF(NOT(ISNUMBER(C95)),"仕入量がありません",IF(C95&lt;=0,"仕入量がありません",IF(AND(ISNUMBER(E95),OR(E95&lt;=0,E95&gt;1)),"歩留まりは1〜100%で入れます",IF(TRIM(D95)="","単位がありません（g・ml・個など）","")))))))</f>
        <v/>
      </c>
    </row>
    <row r="96" ht="16" customHeight="1">
      <c r="A96" s="38" t="n"/>
      <c r="B96" s="40" t="n"/>
      <c r="C96" s="39" t="n"/>
      <c r="D96" s="36" t="n"/>
      <c r="E96" s="74" t="n"/>
      <c r="F96" s="70">
        <f>IF(AND(ISNUMBER(C96),C96&gt;0),C96*IF(ISNUMBER(E96),E96,1),"")</f>
        <v/>
      </c>
      <c r="G96" s="75">
        <f>IF(AND(ISNUMBER(B96),ISNUMBER(F96)),IF(F96&gt;0,B96/F96,""),"")</f>
        <v/>
      </c>
      <c r="H96" s="33" t="n"/>
      <c r="I96" s="35" t="n"/>
      <c r="J96" s="34">
        <f>IF(TRIM(A96)="",IF(COUNTA(B96:E96,H96:I96)&gt;0,"食材名がありません",""),IF(COUNTIF($A$5:$A$204,A96)&gt;1,"同じ食材名があります",IF(NOT(ISNUMBER(B96)),"仕入価格がありません",IF(NOT(ISNUMBER(C96)),"仕入量がありません",IF(C96&lt;=0,"仕入量がありません",IF(AND(ISNUMBER(E96),OR(E96&lt;=0,E96&gt;1)),"歩留まりは1〜100%で入れます",IF(TRIM(D96)="","単位がありません（g・ml・個など）","")))))))</f>
        <v/>
      </c>
    </row>
    <row r="97" ht="16" customHeight="1">
      <c r="A97" s="38" t="n"/>
      <c r="B97" s="40" t="n"/>
      <c r="C97" s="39" t="n"/>
      <c r="D97" s="36" t="n"/>
      <c r="E97" s="74" t="n"/>
      <c r="F97" s="70">
        <f>IF(AND(ISNUMBER(C97),C97&gt;0),C97*IF(ISNUMBER(E97),E97,1),"")</f>
        <v/>
      </c>
      <c r="G97" s="75">
        <f>IF(AND(ISNUMBER(B97),ISNUMBER(F97)),IF(F97&gt;0,B97/F97,""),"")</f>
        <v/>
      </c>
      <c r="H97" s="33" t="n"/>
      <c r="I97" s="35" t="n"/>
      <c r="J97" s="34">
        <f>IF(TRIM(A97)="",IF(COUNTA(B97:E97,H97:I97)&gt;0,"食材名がありません",""),IF(COUNTIF($A$5:$A$204,A97)&gt;1,"同じ食材名があります",IF(NOT(ISNUMBER(B97)),"仕入価格がありません",IF(NOT(ISNUMBER(C97)),"仕入量がありません",IF(C97&lt;=0,"仕入量がありません",IF(AND(ISNUMBER(E97),OR(E97&lt;=0,E97&gt;1)),"歩留まりは1〜100%で入れます",IF(TRIM(D97)="","単位がありません（g・ml・個など）","")))))))</f>
        <v/>
      </c>
    </row>
    <row r="98" ht="16" customHeight="1">
      <c r="A98" s="38" t="n"/>
      <c r="B98" s="40" t="n"/>
      <c r="C98" s="39" t="n"/>
      <c r="D98" s="36" t="n"/>
      <c r="E98" s="74" t="n"/>
      <c r="F98" s="70">
        <f>IF(AND(ISNUMBER(C98),C98&gt;0),C98*IF(ISNUMBER(E98),E98,1),"")</f>
        <v/>
      </c>
      <c r="G98" s="75">
        <f>IF(AND(ISNUMBER(B98),ISNUMBER(F98)),IF(F98&gt;0,B98/F98,""),"")</f>
        <v/>
      </c>
      <c r="H98" s="33" t="n"/>
      <c r="I98" s="35" t="n"/>
      <c r="J98" s="34">
        <f>IF(TRIM(A98)="",IF(COUNTA(B98:E98,H98:I98)&gt;0,"食材名がありません",""),IF(COUNTIF($A$5:$A$204,A98)&gt;1,"同じ食材名があります",IF(NOT(ISNUMBER(B98)),"仕入価格がありません",IF(NOT(ISNUMBER(C98)),"仕入量がありません",IF(C98&lt;=0,"仕入量がありません",IF(AND(ISNUMBER(E98),OR(E98&lt;=0,E98&gt;1)),"歩留まりは1〜100%で入れます",IF(TRIM(D98)="","単位がありません（g・ml・個など）","")))))))</f>
        <v/>
      </c>
    </row>
    <row r="99" ht="16" customHeight="1">
      <c r="A99" s="38" t="n"/>
      <c r="B99" s="40" t="n"/>
      <c r="C99" s="39" t="n"/>
      <c r="D99" s="36" t="n"/>
      <c r="E99" s="74" t="n"/>
      <c r="F99" s="70">
        <f>IF(AND(ISNUMBER(C99),C99&gt;0),C99*IF(ISNUMBER(E99),E99,1),"")</f>
        <v/>
      </c>
      <c r="G99" s="75">
        <f>IF(AND(ISNUMBER(B99),ISNUMBER(F99)),IF(F99&gt;0,B99/F99,""),"")</f>
        <v/>
      </c>
      <c r="H99" s="33" t="n"/>
      <c r="I99" s="35" t="n"/>
      <c r="J99" s="34">
        <f>IF(TRIM(A99)="",IF(COUNTA(B99:E99,H99:I99)&gt;0,"食材名がありません",""),IF(COUNTIF($A$5:$A$204,A99)&gt;1,"同じ食材名があります",IF(NOT(ISNUMBER(B99)),"仕入価格がありません",IF(NOT(ISNUMBER(C99)),"仕入量がありません",IF(C99&lt;=0,"仕入量がありません",IF(AND(ISNUMBER(E99),OR(E99&lt;=0,E99&gt;1)),"歩留まりは1〜100%で入れます",IF(TRIM(D99)="","単位がありません（g・ml・個など）","")))))))</f>
        <v/>
      </c>
    </row>
    <row r="100" ht="16" customHeight="1">
      <c r="A100" s="38" t="n"/>
      <c r="B100" s="40" t="n"/>
      <c r="C100" s="39" t="n"/>
      <c r="D100" s="36" t="n"/>
      <c r="E100" s="74" t="n"/>
      <c r="F100" s="70">
        <f>IF(AND(ISNUMBER(C100),C100&gt;0),C100*IF(ISNUMBER(E100),E100,1),"")</f>
        <v/>
      </c>
      <c r="G100" s="75">
        <f>IF(AND(ISNUMBER(B100),ISNUMBER(F100)),IF(F100&gt;0,B100/F100,""),"")</f>
        <v/>
      </c>
      <c r="H100" s="33" t="n"/>
      <c r="I100" s="35" t="n"/>
      <c r="J100" s="34">
        <f>IF(TRIM(A100)="",IF(COUNTA(B100:E100,H100:I100)&gt;0,"食材名がありません",""),IF(COUNTIF($A$5:$A$204,A100)&gt;1,"同じ食材名があります",IF(NOT(ISNUMBER(B100)),"仕入価格がありません",IF(NOT(ISNUMBER(C100)),"仕入量がありません",IF(C100&lt;=0,"仕入量がありません",IF(AND(ISNUMBER(E100),OR(E100&lt;=0,E100&gt;1)),"歩留まりは1〜100%で入れます",IF(TRIM(D100)="","単位がありません（g・ml・個など）","")))))))</f>
        <v/>
      </c>
    </row>
    <row r="101" ht="16" customHeight="1">
      <c r="A101" s="38" t="n"/>
      <c r="B101" s="40" t="n"/>
      <c r="C101" s="39" t="n"/>
      <c r="D101" s="36" t="n"/>
      <c r="E101" s="74" t="n"/>
      <c r="F101" s="70">
        <f>IF(AND(ISNUMBER(C101),C101&gt;0),C101*IF(ISNUMBER(E101),E101,1),"")</f>
        <v/>
      </c>
      <c r="G101" s="75">
        <f>IF(AND(ISNUMBER(B101),ISNUMBER(F101)),IF(F101&gt;0,B101/F101,""),"")</f>
        <v/>
      </c>
      <c r="H101" s="33" t="n"/>
      <c r="I101" s="35" t="n"/>
      <c r="J101" s="34">
        <f>IF(TRIM(A101)="",IF(COUNTA(B101:E101,H101:I101)&gt;0,"食材名がありません",""),IF(COUNTIF($A$5:$A$204,A101)&gt;1,"同じ食材名があります",IF(NOT(ISNUMBER(B101)),"仕入価格がありません",IF(NOT(ISNUMBER(C101)),"仕入量がありません",IF(C101&lt;=0,"仕入量がありません",IF(AND(ISNUMBER(E101),OR(E101&lt;=0,E101&gt;1)),"歩留まりは1〜100%で入れます",IF(TRIM(D101)="","単位がありません（g・ml・個など）","")))))))</f>
        <v/>
      </c>
    </row>
    <row r="102" ht="16" customHeight="1">
      <c r="A102" s="38" t="n"/>
      <c r="B102" s="40" t="n"/>
      <c r="C102" s="39" t="n"/>
      <c r="D102" s="36" t="n"/>
      <c r="E102" s="74" t="n"/>
      <c r="F102" s="70">
        <f>IF(AND(ISNUMBER(C102),C102&gt;0),C102*IF(ISNUMBER(E102),E102,1),"")</f>
        <v/>
      </c>
      <c r="G102" s="75">
        <f>IF(AND(ISNUMBER(B102),ISNUMBER(F102)),IF(F102&gt;0,B102/F102,""),"")</f>
        <v/>
      </c>
      <c r="H102" s="33" t="n"/>
      <c r="I102" s="35" t="n"/>
      <c r="J102" s="34">
        <f>IF(TRIM(A102)="",IF(COUNTA(B102:E102,H102:I102)&gt;0,"食材名がありません",""),IF(COUNTIF($A$5:$A$204,A102)&gt;1,"同じ食材名があります",IF(NOT(ISNUMBER(B102)),"仕入価格がありません",IF(NOT(ISNUMBER(C102)),"仕入量がありません",IF(C102&lt;=0,"仕入量がありません",IF(AND(ISNUMBER(E102),OR(E102&lt;=0,E102&gt;1)),"歩留まりは1〜100%で入れます",IF(TRIM(D102)="","単位がありません（g・ml・個など）","")))))))</f>
        <v/>
      </c>
    </row>
    <row r="103" ht="16" customHeight="1">
      <c r="A103" s="38" t="n"/>
      <c r="B103" s="40" t="n"/>
      <c r="C103" s="39" t="n"/>
      <c r="D103" s="36" t="n"/>
      <c r="E103" s="74" t="n"/>
      <c r="F103" s="70">
        <f>IF(AND(ISNUMBER(C103),C103&gt;0),C103*IF(ISNUMBER(E103),E103,1),"")</f>
        <v/>
      </c>
      <c r="G103" s="75">
        <f>IF(AND(ISNUMBER(B103),ISNUMBER(F103)),IF(F103&gt;0,B103/F103,""),"")</f>
        <v/>
      </c>
      <c r="H103" s="33" t="n"/>
      <c r="I103" s="35" t="n"/>
      <c r="J103" s="34">
        <f>IF(TRIM(A103)="",IF(COUNTA(B103:E103,H103:I103)&gt;0,"食材名がありません",""),IF(COUNTIF($A$5:$A$204,A103)&gt;1,"同じ食材名があります",IF(NOT(ISNUMBER(B103)),"仕入価格がありません",IF(NOT(ISNUMBER(C103)),"仕入量がありません",IF(C103&lt;=0,"仕入量がありません",IF(AND(ISNUMBER(E103),OR(E103&lt;=0,E103&gt;1)),"歩留まりは1〜100%で入れます",IF(TRIM(D103)="","単位がありません（g・ml・個など）","")))))))</f>
        <v/>
      </c>
    </row>
    <row r="104" ht="16" customHeight="1">
      <c r="A104" s="38" t="n"/>
      <c r="B104" s="40" t="n"/>
      <c r="C104" s="39" t="n"/>
      <c r="D104" s="36" t="n"/>
      <c r="E104" s="74" t="n"/>
      <c r="F104" s="70">
        <f>IF(AND(ISNUMBER(C104),C104&gt;0),C104*IF(ISNUMBER(E104),E104,1),"")</f>
        <v/>
      </c>
      <c r="G104" s="75">
        <f>IF(AND(ISNUMBER(B104),ISNUMBER(F104)),IF(F104&gt;0,B104/F104,""),"")</f>
        <v/>
      </c>
      <c r="H104" s="33" t="n"/>
      <c r="I104" s="35" t="n"/>
      <c r="J104" s="34">
        <f>IF(TRIM(A104)="",IF(COUNTA(B104:E104,H104:I104)&gt;0,"食材名がありません",""),IF(COUNTIF($A$5:$A$204,A104)&gt;1,"同じ食材名があります",IF(NOT(ISNUMBER(B104)),"仕入価格がありません",IF(NOT(ISNUMBER(C104)),"仕入量がありません",IF(C104&lt;=0,"仕入量がありません",IF(AND(ISNUMBER(E104),OR(E104&lt;=0,E104&gt;1)),"歩留まりは1〜100%で入れます",IF(TRIM(D104)="","単位がありません（g・ml・個など）","")))))))</f>
        <v/>
      </c>
    </row>
    <row r="105" ht="16" customHeight="1">
      <c r="A105" s="38" t="n"/>
      <c r="B105" s="40" t="n"/>
      <c r="C105" s="39" t="n"/>
      <c r="D105" s="36" t="n"/>
      <c r="E105" s="74" t="n"/>
      <c r="F105" s="70">
        <f>IF(AND(ISNUMBER(C105),C105&gt;0),C105*IF(ISNUMBER(E105),E105,1),"")</f>
        <v/>
      </c>
      <c r="G105" s="75">
        <f>IF(AND(ISNUMBER(B105),ISNUMBER(F105)),IF(F105&gt;0,B105/F105,""),"")</f>
        <v/>
      </c>
      <c r="H105" s="33" t="n"/>
      <c r="I105" s="35" t="n"/>
      <c r="J105" s="34">
        <f>IF(TRIM(A105)="",IF(COUNTA(B105:E105,H105:I105)&gt;0,"食材名がありません",""),IF(COUNTIF($A$5:$A$204,A105)&gt;1,"同じ食材名があります",IF(NOT(ISNUMBER(B105)),"仕入価格がありません",IF(NOT(ISNUMBER(C105)),"仕入量がありません",IF(C105&lt;=0,"仕入量がありません",IF(AND(ISNUMBER(E105),OR(E105&lt;=0,E105&gt;1)),"歩留まりは1〜100%で入れます",IF(TRIM(D105)="","単位がありません（g・ml・個など）","")))))))</f>
        <v/>
      </c>
    </row>
    <row r="106" ht="16" customHeight="1">
      <c r="A106" s="38" t="n"/>
      <c r="B106" s="40" t="n"/>
      <c r="C106" s="39" t="n"/>
      <c r="D106" s="36" t="n"/>
      <c r="E106" s="74" t="n"/>
      <c r="F106" s="70">
        <f>IF(AND(ISNUMBER(C106),C106&gt;0),C106*IF(ISNUMBER(E106),E106,1),"")</f>
        <v/>
      </c>
      <c r="G106" s="75">
        <f>IF(AND(ISNUMBER(B106),ISNUMBER(F106)),IF(F106&gt;0,B106/F106,""),"")</f>
        <v/>
      </c>
      <c r="H106" s="33" t="n"/>
      <c r="I106" s="35" t="n"/>
      <c r="J106" s="34">
        <f>IF(TRIM(A106)="",IF(COUNTA(B106:E106,H106:I106)&gt;0,"食材名がありません",""),IF(COUNTIF($A$5:$A$204,A106)&gt;1,"同じ食材名があります",IF(NOT(ISNUMBER(B106)),"仕入価格がありません",IF(NOT(ISNUMBER(C106)),"仕入量がありません",IF(C106&lt;=0,"仕入量がありません",IF(AND(ISNUMBER(E106),OR(E106&lt;=0,E106&gt;1)),"歩留まりは1〜100%で入れます",IF(TRIM(D106)="","単位がありません（g・ml・個など）","")))))))</f>
        <v/>
      </c>
    </row>
    <row r="107" ht="16" customHeight="1">
      <c r="A107" s="38" t="n"/>
      <c r="B107" s="40" t="n"/>
      <c r="C107" s="39" t="n"/>
      <c r="D107" s="36" t="n"/>
      <c r="E107" s="74" t="n"/>
      <c r="F107" s="70">
        <f>IF(AND(ISNUMBER(C107),C107&gt;0),C107*IF(ISNUMBER(E107),E107,1),"")</f>
        <v/>
      </c>
      <c r="G107" s="75">
        <f>IF(AND(ISNUMBER(B107),ISNUMBER(F107)),IF(F107&gt;0,B107/F107,""),"")</f>
        <v/>
      </c>
      <c r="H107" s="33" t="n"/>
      <c r="I107" s="35" t="n"/>
      <c r="J107" s="34">
        <f>IF(TRIM(A107)="",IF(COUNTA(B107:E107,H107:I107)&gt;0,"食材名がありません",""),IF(COUNTIF($A$5:$A$204,A107)&gt;1,"同じ食材名があります",IF(NOT(ISNUMBER(B107)),"仕入価格がありません",IF(NOT(ISNUMBER(C107)),"仕入量がありません",IF(C107&lt;=0,"仕入量がありません",IF(AND(ISNUMBER(E107),OR(E107&lt;=0,E107&gt;1)),"歩留まりは1〜100%で入れます",IF(TRIM(D107)="","単位がありません（g・ml・個など）","")))))))</f>
        <v/>
      </c>
    </row>
    <row r="108" ht="16" customHeight="1">
      <c r="A108" s="38" t="n"/>
      <c r="B108" s="40" t="n"/>
      <c r="C108" s="39" t="n"/>
      <c r="D108" s="36" t="n"/>
      <c r="E108" s="74" t="n"/>
      <c r="F108" s="70">
        <f>IF(AND(ISNUMBER(C108),C108&gt;0),C108*IF(ISNUMBER(E108),E108,1),"")</f>
        <v/>
      </c>
      <c r="G108" s="75">
        <f>IF(AND(ISNUMBER(B108),ISNUMBER(F108)),IF(F108&gt;0,B108/F108,""),"")</f>
        <v/>
      </c>
      <c r="H108" s="33" t="n"/>
      <c r="I108" s="35" t="n"/>
      <c r="J108" s="34">
        <f>IF(TRIM(A108)="",IF(COUNTA(B108:E108,H108:I108)&gt;0,"食材名がありません",""),IF(COUNTIF($A$5:$A$204,A108)&gt;1,"同じ食材名があります",IF(NOT(ISNUMBER(B108)),"仕入価格がありません",IF(NOT(ISNUMBER(C108)),"仕入量がありません",IF(C108&lt;=0,"仕入量がありません",IF(AND(ISNUMBER(E108),OR(E108&lt;=0,E108&gt;1)),"歩留まりは1〜100%で入れます",IF(TRIM(D108)="","単位がありません（g・ml・個など）","")))))))</f>
        <v/>
      </c>
    </row>
    <row r="109" ht="16" customHeight="1">
      <c r="A109" s="38" t="n"/>
      <c r="B109" s="40" t="n"/>
      <c r="C109" s="39" t="n"/>
      <c r="D109" s="36" t="n"/>
      <c r="E109" s="74" t="n"/>
      <c r="F109" s="70">
        <f>IF(AND(ISNUMBER(C109),C109&gt;0),C109*IF(ISNUMBER(E109),E109,1),"")</f>
        <v/>
      </c>
      <c r="G109" s="75">
        <f>IF(AND(ISNUMBER(B109),ISNUMBER(F109)),IF(F109&gt;0,B109/F109,""),"")</f>
        <v/>
      </c>
      <c r="H109" s="33" t="n"/>
      <c r="I109" s="35" t="n"/>
      <c r="J109" s="34">
        <f>IF(TRIM(A109)="",IF(COUNTA(B109:E109,H109:I109)&gt;0,"食材名がありません",""),IF(COUNTIF($A$5:$A$204,A109)&gt;1,"同じ食材名があります",IF(NOT(ISNUMBER(B109)),"仕入価格がありません",IF(NOT(ISNUMBER(C109)),"仕入量がありません",IF(C109&lt;=0,"仕入量がありません",IF(AND(ISNUMBER(E109),OR(E109&lt;=0,E109&gt;1)),"歩留まりは1〜100%で入れます",IF(TRIM(D109)="","単位がありません（g・ml・個など）","")))))))</f>
        <v/>
      </c>
    </row>
    <row r="110" ht="16" customHeight="1">
      <c r="A110" s="38" t="n"/>
      <c r="B110" s="40" t="n"/>
      <c r="C110" s="39" t="n"/>
      <c r="D110" s="36" t="n"/>
      <c r="E110" s="74" t="n"/>
      <c r="F110" s="70">
        <f>IF(AND(ISNUMBER(C110),C110&gt;0),C110*IF(ISNUMBER(E110),E110,1),"")</f>
        <v/>
      </c>
      <c r="G110" s="75">
        <f>IF(AND(ISNUMBER(B110),ISNUMBER(F110)),IF(F110&gt;0,B110/F110,""),"")</f>
        <v/>
      </c>
      <c r="H110" s="33" t="n"/>
      <c r="I110" s="35" t="n"/>
      <c r="J110" s="34">
        <f>IF(TRIM(A110)="",IF(COUNTA(B110:E110,H110:I110)&gt;0,"食材名がありません",""),IF(COUNTIF($A$5:$A$204,A110)&gt;1,"同じ食材名があります",IF(NOT(ISNUMBER(B110)),"仕入価格がありません",IF(NOT(ISNUMBER(C110)),"仕入量がありません",IF(C110&lt;=0,"仕入量がありません",IF(AND(ISNUMBER(E110),OR(E110&lt;=0,E110&gt;1)),"歩留まりは1〜100%で入れます",IF(TRIM(D110)="","単位がありません（g・ml・個など）","")))))))</f>
        <v/>
      </c>
    </row>
    <row r="111" ht="16" customHeight="1">
      <c r="A111" s="38" t="n"/>
      <c r="B111" s="40" t="n"/>
      <c r="C111" s="39" t="n"/>
      <c r="D111" s="36" t="n"/>
      <c r="E111" s="74" t="n"/>
      <c r="F111" s="70">
        <f>IF(AND(ISNUMBER(C111),C111&gt;0),C111*IF(ISNUMBER(E111),E111,1),"")</f>
        <v/>
      </c>
      <c r="G111" s="75">
        <f>IF(AND(ISNUMBER(B111),ISNUMBER(F111)),IF(F111&gt;0,B111/F111,""),"")</f>
        <v/>
      </c>
      <c r="H111" s="33" t="n"/>
      <c r="I111" s="35" t="n"/>
      <c r="J111" s="34">
        <f>IF(TRIM(A111)="",IF(COUNTA(B111:E111,H111:I111)&gt;0,"食材名がありません",""),IF(COUNTIF($A$5:$A$204,A111)&gt;1,"同じ食材名があります",IF(NOT(ISNUMBER(B111)),"仕入価格がありません",IF(NOT(ISNUMBER(C111)),"仕入量がありません",IF(C111&lt;=0,"仕入量がありません",IF(AND(ISNUMBER(E111),OR(E111&lt;=0,E111&gt;1)),"歩留まりは1〜100%で入れます",IF(TRIM(D111)="","単位がありません（g・ml・個など）","")))))))</f>
        <v/>
      </c>
    </row>
    <row r="112" ht="16" customHeight="1">
      <c r="A112" s="38" t="n"/>
      <c r="B112" s="40" t="n"/>
      <c r="C112" s="39" t="n"/>
      <c r="D112" s="36" t="n"/>
      <c r="E112" s="74" t="n"/>
      <c r="F112" s="70">
        <f>IF(AND(ISNUMBER(C112),C112&gt;0),C112*IF(ISNUMBER(E112),E112,1),"")</f>
        <v/>
      </c>
      <c r="G112" s="75">
        <f>IF(AND(ISNUMBER(B112),ISNUMBER(F112)),IF(F112&gt;0,B112/F112,""),"")</f>
        <v/>
      </c>
      <c r="H112" s="33" t="n"/>
      <c r="I112" s="35" t="n"/>
      <c r="J112" s="34">
        <f>IF(TRIM(A112)="",IF(COUNTA(B112:E112,H112:I112)&gt;0,"食材名がありません",""),IF(COUNTIF($A$5:$A$204,A112)&gt;1,"同じ食材名があります",IF(NOT(ISNUMBER(B112)),"仕入価格がありません",IF(NOT(ISNUMBER(C112)),"仕入量がありません",IF(C112&lt;=0,"仕入量がありません",IF(AND(ISNUMBER(E112),OR(E112&lt;=0,E112&gt;1)),"歩留まりは1〜100%で入れます",IF(TRIM(D112)="","単位がありません（g・ml・個など）","")))))))</f>
        <v/>
      </c>
    </row>
    <row r="113" ht="16" customHeight="1">
      <c r="A113" s="38" t="n"/>
      <c r="B113" s="40" t="n"/>
      <c r="C113" s="39" t="n"/>
      <c r="D113" s="36" t="n"/>
      <c r="E113" s="74" t="n"/>
      <c r="F113" s="70">
        <f>IF(AND(ISNUMBER(C113),C113&gt;0),C113*IF(ISNUMBER(E113),E113,1),"")</f>
        <v/>
      </c>
      <c r="G113" s="75">
        <f>IF(AND(ISNUMBER(B113),ISNUMBER(F113)),IF(F113&gt;0,B113/F113,""),"")</f>
        <v/>
      </c>
      <c r="H113" s="33" t="n"/>
      <c r="I113" s="35" t="n"/>
      <c r="J113" s="34">
        <f>IF(TRIM(A113)="",IF(COUNTA(B113:E113,H113:I113)&gt;0,"食材名がありません",""),IF(COUNTIF($A$5:$A$204,A113)&gt;1,"同じ食材名があります",IF(NOT(ISNUMBER(B113)),"仕入価格がありません",IF(NOT(ISNUMBER(C113)),"仕入量がありません",IF(C113&lt;=0,"仕入量がありません",IF(AND(ISNUMBER(E113),OR(E113&lt;=0,E113&gt;1)),"歩留まりは1〜100%で入れます",IF(TRIM(D113)="","単位がありません（g・ml・個など）","")))))))</f>
        <v/>
      </c>
    </row>
    <row r="114" ht="16" customHeight="1">
      <c r="A114" s="38" t="n"/>
      <c r="B114" s="40" t="n"/>
      <c r="C114" s="39" t="n"/>
      <c r="D114" s="36" t="n"/>
      <c r="E114" s="74" t="n"/>
      <c r="F114" s="70">
        <f>IF(AND(ISNUMBER(C114),C114&gt;0),C114*IF(ISNUMBER(E114),E114,1),"")</f>
        <v/>
      </c>
      <c r="G114" s="75">
        <f>IF(AND(ISNUMBER(B114),ISNUMBER(F114)),IF(F114&gt;0,B114/F114,""),"")</f>
        <v/>
      </c>
      <c r="H114" s="33" t="n"/>
      <c r="I114" s="35" t="n"/>
      <c r="J114" s="34">
        <f>IF(TRIM(A114)="",IF(COUNTA(B114:E114,H114:I114)&gt;0,"食材名がありません",""),IF(COUNTIF($A$5:$A$204,A114)&gt;1,"同じ食材名があります",IF(NOT(ISNUMBER(B114)),"仕入価格がありません",IF(NOT(ISNUMBER(C114)),"仕入量がありません",IF(C114&lt;=0,"仕入量がありません",IF(AND(ISNUMBER(E114),OR(E114&lt;=0,E114&gt;1)),"歩留まりは1〜100%で入れます",IF(TRIM(D114)="","単位がありません（g・ml・個など）","")))))))</f>
        <v/>
      </c>
    </row>
    <row r="115" ht="16" customHeight="1">
      <c r="A115" s="38" t="n"/>
      <c r="B115" s="40" t="n"/>
      <c r="C115" s="39" t="n"/>
      <c r="D115" s="36" t="n"/>
      <c r="E115" s="74" t="n"/>
      <c r="F115" s="70">
        <f>IF(AND(ISNUMBER(C115),C115&gt;0),C115*IF(ISNUMBER(E115),E115,1),"")</f>
        <v/>
      </c>
      <c r="G115" s="75">
        <f>IF(AND(ISNUMBER(B115),ISNUMBER(F115)),IF(F115&gt;0,B115/F115,""),"")</f>
        <v/>
      </c>
      <c r="H115" s="33" t="n"/>
      <c r="I115" s="35" t="n"/>
      <c r="J115" s="34">
        <f>IF(TRIM(A115)="",IF(COUNTA(B115:E115,H115:I115)&gt;0,"食材名がありません",""),IF(COUNTIF($A$5:$A$204,A115)&gt;1,"同じ食材名があります",IF(NOT(ISNUMBER(B115)),"仕入価格がありません",IF(NOT(ISNUMBER(C115)),"仕入量がありません",IF(C115&lt;=0,"仕入量がありません",IF(AND(ISNUMBER(E115),OR(E115&lt;=0,E115&gt;1)),"歩留まりは1〜100%で入れます",IF(TRIM(D115)="","単位がありません（g・ml・個など）","")))))))</f>
        <v/>
      </c>
    </row>
    <row r="116" ht="16" customHeight="1">
      <c r="A116" s="38" t="n"/>
      <c r="B116" s="40" t="n"/>
      <c r="C116" s="39" t="n"/>
      <c r="D116" s="36" t="n"/>
      <c r="E116" s="74" t="n"/>
      <c r="F116" s="70">
        <f>IF(AND(ISNUMBER(C116),C116&gt;0),C116*IF(ISNUMBER(E116),E116,1),"")</f>
        <v/>
      </c>
      <c r="G116" s="75">
        <f>IF(AND(ISNUMBER(B116),ISNUMBER(F116)),IF(F116&gt;0,B116/F116,""),"")</f>
        <v/>
      </c>
      <c r="H116" s="33" t="n"/>
      <c r="I116" s="35" t="n"/>
      <c r="J116" s="34">
        <f>IF(TRIM(A116)="",IF(COUNTA(B116:E116,H116:I116)&gt;0,"食材名がありません",""),IF(COUNTIF($A$5:$A$204,A116)&gt;1,"同じ食材名があります",IF(NOT(ISNUMBER(B116)),"仕入価格がありません",IF(NOT(ISNUMBER(C116)),"仕入量がありません",IF(C116&lt;=0,"仕入量がありません",IF(AND(ISNUMBER(E116),OR(E116&lt;=0,E116&gt;1)),"歩留まりは1〜100%で入れます",IF(TRIM(D116)="","単位がありません（g・ml・個など）","")))))))</f>
        <v/>
      </c>
    </row>
    <row r="117" ht="16" customHeight="1">
      <c r="A117" s="38" t="n"/>
      <c r="B117" s="40" t="n"/>
      <c r="C117" s="39" t="n"/>
      <c r="D117" s="36" t="n"/>
      <c r="E117" s="74" t="n"/>
      <c r="F117" s="70">
        <f>IF(AND(ISNUMBER(C117),C117&gt;0),C117*IF(ISNUMBER(E117),E117,1),"")</f>
        <v/>
      </c>
      <c r="G117" s="75">
        <f>IF(AND(ISNUMBER(B117),ISNUMBER(F117)),IF(F117&gt;0,B117/F117,""),"")</f>
        <v/>
      </c>
      <c r="H117" s="33" t="n"/>
      <c r="I117" s="35" t="n"/>
      <c r="J117" s="34">
        <f>IF(TRIM(A117)="",IF(COUNTA(B117:E117,H117:I117)&gt;0,"食材名がありません",""),IF(COUNTIF($A$5:$A$204,A117)&gt;1,"同じ食材名があります",IF(NOT(ISNUMBER(B117)),"仕入価格がありません",IF(NOT(ISNUMBER(C117)),"仕入量がありません",IF(C117&lt;=0,"仕入量がありません",IF(AND(ISNUMBER(E117),OR(E117&lt;=0,E117&gt;1)),"歩留まりは1〜100%で入れます",IF(TRIM(D117)="","単位がありません（g・ml・個など）","")))))))</f>
        <v/>
      </c>
    </row>
    <row r="118" ht="16" customHeight="1">
      <c r="A118" s="38" t="n"/>
      <c r="B118" s="40" t="n"/>
      <c r="C118" s="39" t="n"/>
      <c r="D118" s="36" t="n"/>
      <c r="E118" s="74" t="n"/>
      <c r="F118" s="70">
        <f>IF(AND(ISNUMBER(C118),C118&gt;0),C118*IF(ISNUMBER(E118),E118,1),"")</f>
        <v/>
      </c>
      <c r="G118" s="75">
        <f>IF(AND(ISNUMBER(B118),ISNUMBER(F118)),IF(F118&gt;0,B118/F118,""),"")</f>
        <v/>
      </c>
      <c r="H118" s="33" t="n"/>
      <c r="I118" s="35" t="n"/>
      <c r="J118" s="34">
        <f>IF(TRIM(A118)="",IF(COUNTA(B118:E118,H118:I118)&gt;0,"食材名がありません",""),IF(COUNTIF($A$5:$A$204,A118)&gt;1,"同じ食材名があります",IF(NOT(ISNUMBER(B118)),"仕入価格がありません",IF(NOT(ISNUMBER(C118)),"仕入量がありません",IF(C118&lt;=0,"仕入量がありません",IF(AND(ISNUMBER(E118),OR(E118&lt;=0,E118&gt;1)),"歩留まりは1〜100%で入れます",IF(TRIM(D118)="","単位がありません（g・ml・個など）","")))))))</f>
        <v/>
      </c>
    </row>
    <row r="119" ht="16" customHeight="1">
      <c r="A119" s="38" t="n"/>
      <c r="B119" s="40" t="n"/>
      <c r="C119" s="39" t="n"/>
      <c r="D119" s="36" t="n"/>
      <c r="E119" s="74" t="n"/>
      <c r="F119" s="70">
        <f>IF(AND(ISNUMBER(C119),C119&gt;0),C119*IF(ISNUMBER(E119),E119,1),"")</f>
        <v/>
      </c>
      <c r="G119" s="75">
        <f>IF(AND(ISNUMBER(B119),ISNUMBER(F119)),IF(F119&gt;0,B119/F119,""),"")</f>
        <v/>
      </c>
      <c r="H119" s="33" t="n"/>
      <c r="I119" s="35" t="n"/>
      <c r="J119" s="34">
        <f>IF(TRIM(A119)="",IF(COUNTA(B119:E119,H119:I119)&gt;0,"食材名がありません",""),IF(COUNTIF($A$5:$A$204,A119)&gt;1,"同じ食材名があります",IF(NOT(ISNUMBER(B119)),"仕入価格がありません",IF(NOT(ISNUMBER(C119)),"仕入量がありません",IF(C119&lt;=0,"仕入量がありません",IF(AND(ISNUMBER(E119),OR(E119&lt;=0,E119&gt;1)),"歩留まりは1〜100%で入れます",IF(TRIM(D119)="","単位がありません（g・ml・個など）","")))))))</f>
        <v/>
      </c>
    </row>
    <row r="120" ht="16" customHeight="1">
      <c r="A120" s="38" t="n"/>
      <c r="B120" s="40" t="n"/>
      <c r="C120" s="39" t="n"/>
      <c r="D120" s="36" t="n"/>
      <c r="E120" s="74" t="n"/>
      <c r="F120" s="70">
        <f>IF(AND(ISNUMBER(C120),C120&gt;0),C120*IF(ISNUMBER(E120),E120,1),"")</f>
        <v/>
      </c>
      <c r="G120" s="75">
        <f>IF(AND(ISNUMBER(B120),ISNUMBER(F120)),IF(F120&gt;0,B120/F120,""),"")</f>
        <v/>
      </c>
      <c r="H120" s="33" t="n"/>
      <c r="I120" s="35" t="n"/>
      <c r="J120" s="34">
        <f>IF(TRIM(A120)="",IF(COUNTA(B120:E120,H120:I120)&gt;0,"食材名がありません",""),IF(COUNTIF($A$5:$A$204,A120)&gt;1,"同じ食材名があります",IF(NOT(ISNUMBER(B120)),"仕入価格がありません",IF(NOT(ISNUMBER(C120)),"仕入量がありません",IF(C120&lt;=0,"仕入量がありません",IF(AND(ISNUMBER(E120),OR(E120&lt;=0,E120&gt;1)),"歩留まりは1〜100%で入れます",IF(TRIM(D120)="","単位がありません（g・ml・個など）","")))))))</f>
        <v/>
      </c>
    </row>
    <row r="121" ht="16" customHeight="1">
      <c r="A121" s="38" t="n"/>
      <c r="B121" s="40" t="n"/>
      <c r="C121" s="39" t="n"/>
      <c r="D121" s="36" t="n"/>
      <c r="E121" s="74" t="n"/>
      <c r="F121" s="70">
        <f>IF(AND(ISNUMBER(C121),C121&gt;0),C121*IF(ISNUMBER(E121),E121,1),"")</f>
        <v/>
      </c>
      <c r="G121" s="75">
        <f>IF(AND(ISNUMBER(B121),ISNUMBER(F121)),IF(F121&gt;0,B121/F121,""),"")</f>
        <v/>
      </c>
      <c r="H121" s="33" t="n"/>
      <c r="I121" s="35" t="n"/>
      <c r="J121" s="34">
        <f>IF(TRIM(A121)="",IF(COUNTA(B121:E121,H121:I121)&gt;0,"食材名がありません",""),IF(COUNTIF($A$5:$A$204,A121)&gt;1,"同じ食材名があります",IF(NOT(ISNUMBER(B121)),"仕入価格がありません",IF(NOT(ISNUMBER(C121)),"仕入量がありません",IF(C121&lt;=0,"仕入量がありません",IF(AND(ISNUMBER(E121),OR(E121&lt;=0,E121&gt;1)),"歩留まりは1〜100%で入れます",IF(TRIM(D121)="","単位がありません（g・ml・個など）","")))))))</f>
        <v/>
      </c>
    </row>
    <row r="122" ht="16" customHeight="1">
      <c r="A122" s="38" t="n"/>
      <c r="B122" s="40" t="n"/>
      <c r="C122" s="39" t="n"/>
      <c r="D122" s="36" t="n"/>
      <c r="E122" s="74" t="n"/>
      <c r="F122" s="70">
        <f>IF(AND(ISNUMBER(C122),C122&gt;0),C122*IF(ISNUMBER(E122),E122,1),"")</f>
        <v/>
      </c>
      <c r="G122" s="75">
        <f>IF(AND(ISNUMBER(B122),ISNUMBER(F122)),IF(F122&gt;0,B122/F122,""),"")</f>
        <v/>
      </c>
      <c r="H122" s="33" t="n"/>
      <c r="I122" s="35" t="n"/>
      <c r="J122" s="34">
        <f>IF(TRIM(A122)="",IF(COUNTA(B122:E122,H122:I122)&gt;0,"食材名がありません",""),IF(COUNTIF($A$5:$A$204,A122)&gt;1,"同じ食材名があります",IF(NOT(ISNUMBER(B122)),"仕入価格がありません",IF(NOT(ISNUMBER(C122)),"仕入量がありません",IF(C122&lt;=0,"仕入量がありません",IF(AND(ISNUMBER(E122),OR(E122&lt;=0,E122&gt;1)),"歩留まりは1〜100%で入れます",IF(TRIM(D122)="","単位がありません（g・ml・個など）","")))))))</f>
        <v/>
      </c>
    </row>
    <row r="123" ht="16" customHeight="1">
      <c r="A123" s="38" t="n"/>
      <c r="B123" s="40" t="n"/>
      <c r="C123" s="39" t="n"/>
      <c r="D123" s="36" t="n"/>
      <c r="E123" s="74" t="n"/>
      <c r="F123" s="70">
        <f>IF(AND(ISNUMBER(C123),C123&gt;0),C123*IF(ISNUMBER(E123),E123,1),"")</f>
        <v/>
      </c>
      <c r="G123" s="75">
        <f>IF(AND(ISNUMBER(B123),ISNUMBER(F123)),IF(F123&gt;0,B123/F123,""),"")</f>
        <v/>
      </c>
      <c r="H123" s="33" t="n"/>
      <c r="I123" s="35" t="n"/>
      <c r="J123" s="34">
        <f>IF(TRIM(A123)="",IF(COUNTA(B123:E123,H123:I123)&gt;0,"食材名がありません",""),IF(COUNTIF($A$5:$A$204,A123)&gt;1,"同じ食材名があります",IF(NOT(ISNUMBER(B123)),"仕入価格がありません",IF(NOT(ISNUMBER(C123)),"仕入量がありません",IF(C123&lt;=0,"仕入量がありません",IF(AND(ISNUMBER(E123),OR(E123&lt;=0,E123&gt;1)),"歩留まりは1〜100%で入れます",IF(TRIM(D123)="","単位がありません（g・ml・個など）","")))))))</f>
        <v/>
      </c>
    </row>
    <row r="124" ht="16" customHeight="1">
      <c r="A124" s="38" t="n"/>
      <c r="B124" s="40" t="n"/>
      <c r="C124" s="39" t="n"/>
      <c r="D124" s="36" t="n"/>
      <c r="E124" s="74" t="n"/>
      <c r="F124" s="70">
        <f>IF(AND(ISNUMBER(C124),C124&gt;0),C124*IF(ISNUMBER(E124),E124,1),"")</f>
        <v/>
      </c>
      <c r="G124" s="75">
        <f>IF(AND(ISNUMBER(B124),ISNUMBER(F124)),IF(F124&gt;0,B124/F124,""),"")</f>
        <v/>
      </c>
      <c r="H124" s="33" t="n"/>
      <c r="I124" s="35" t="n"/>
      <c r="J124" s="34">
        <f>IF(TRIM(A124)="",IF(COUNTA(B124:E124,H124:I124)&gt;0,"食材名がありません",""),IF(COUNTIF($A$5:$A$204,A124)&gt;1,"同じ食材名があります",IF(NOT(ISNUMBER(B124)),"仕入価格がありません",IF(NOT(ISNUMBER(C124)),"仕入量がありません",IF(C124&lt;=0,"仕入量がありません",IF(AND(ISNUMBER(E124),OR(E124&lt;=0,E124&gt;1)),"歩留まりは1〜100%で入れます",IF(TRIM(D124)="","単位がありません（g・ml・個など）","")))))))</f>
        <v/>
      </c>
    </row>
    <row r="125" ht="16" customHeight="1">
      <c r="A125" s="38" t="n"/>
      <c r="B125" s="40" t="n"/>
      <c r="C125" s="39" t="n"/>
      <c r="D125" s="36" t="n"/>
      <c r="E125" s="74" t="n"/>
      <c r="F125" s="70">
        <f>IF(AND(ISNUMBER(C125),C125&gt;0),C125*IF(ISNUMBER(E125),E125,1),"")</f>
        <v/>
      </c>
      <c r="G125" s="75">
        <f>IF(AND(ISNUMBER(B125),ISNUMBER(F125)),IF(F125&gt;0,B125/F125,""),"")</f>
        <v/>
      </c>
      <c r="H125" s="33" t="n"/>
      <c r="I125" s="35" t="n"/>
      <c r="J125" s="34">
        <f>IF(TRIM(A125)="",IF(COUNTA(B125:E125,H125:I125)&gt;0,"食材名がありません",""),IF(COUNTIF($A$5:$A$204,A125)&gt;1,"同じ食材名があります",IF(NOT(ISNUMBER(B125)),"仕入価格がありません",IF(NOT(ISNUMBER(C125)),"仕入量がありません",IF(C125&lt;=0,"仕入量がありません",IF(AND(ISNUMBER(E125),OR(E125&lt;=0,E125&gt;1)),"歩留まりは1〜100%で入れます",IF(TRIM(D125)="","単位がありません（g・ml・個など）","")))))))</f>
        <v/>
      </c>
    </row>
    <row r="126" ht="16" customHeight="1">
      <c r="A126" s="38" t="n"/>
      <c r="B126" s="40" t="n"/>
      <c r="C126" s="39" t="n"/>
      <c r="D126" s="36" t="n"/>
      <c r="E126" s="74" t="n"/>
      <c r="F126" s="70">
        <f>IF(AND(ISNUMBER(C126),C126&gt;0),C126*IF(ISNUMBER(E126),E126,1),"")</f>
        <v/>
      </c>
      <c r="G126" s="75">
        <f>IF(AND(ISNUMBER(B126),ISNUMBER(F126)),IF(F126&gt;0,B126/F126,""),"")</f>
        <v/>
      </c>
      <c r="H126" s="33" t="n"/>
      <c r="I126" s="35" t="n"/>
      <c r="J126" s="34">
        <f>IF(TRIM(A126)="",IF(COUNTA(B126:E126,H126:I126)&gt;0,"食材名がありません",""),IF(COUNTIF($A$5:$A$204,A126)&gt;1,"同じ食材名があります",IF(NOT(ISNUMBER(B126)),"仕入価格がありません",IF(NOT(ISNUMBER(C126)),"仕入量がありません",IF(C126&lt;=0,"仕入量がありません",IF(AND(ISNUMBER(E126),OR(E126&lt;=0,E126&gt;1)),"歩留まりは1〜100%で入れます",IF(TRIM(D126)="","単位がありません（g・ml・個など）","")))))))</f>
        <v/>
      </c>
    </row>
    <row r="127" ht="16" customHeight="1">
      <c r="A127" s="38" t="n"/>
      <c r="B127" s="40" t="n"/>
      <c r="C127" s="39" t="n"/>
      <c r="D127" s="36" t="n"/>
      <c r="E127" s="74" t="n"/>
      <c r="F127" s="70">
        <f>IF(AND(ISNUMBER(C127),C127&gt;0),C127*IF(ISNUMBER(E127),E127,1),"")</f>
        <v/>
      </c>
      <c r="G127" s="75">
        <f>IF(AND(ISNUMBER(B127),ISNUMBER(F127)),IF(F127&gt;0,B127/F127,""),"")</f>
        <v/>
      </c>
      <c r="H127" s="33" t="n"/>
      <c r="I127" s="35" t="n"/>
      <c r="J127" s="34">
        <f>IF(TRIM(A127)="",IF(COUNTA(B127:E127,H127:I127)&gt;0,"食材名がありません",""),IF(COUNTIF($A$5:$A$204,A127)&gt;1,"同じ食材名があります",IF(NOT(ISNUMBER(B127)),"仕入価格がありません",IF(NOT(ISNUMBER(C127)),"仕入量がありません",IF(C127&lt;=0,"仕入量がありません",IF(AND(ISNUMBER(E127),OR(E127&lt;=0,E127&gt;1)),"歩留まりは1〜100%で入れます",IF(TRIM(D127)="","単位がありません（g・ml・個など）","")))))))</f>
        <v/>
      </c>
    </row>
    <row r="128" ht="16" customHeight="1">
      <c r="A128" s="38" t="n"/>
      <c r="B128" s="40" t="n"/>
      <c r="C128" s="39" t="n"/>
      <c r="D128" s="36" t="n"/>
      <c r="E128" s="74" t="n"/>
      <c r="F128" s="70">
        <f>IF(AND(ISNUMBER(C128),C128&gt;0),C128*IF(ISNUMBER(E128),E128,1),"")</f>
        <v/>
      </c>
      <c r="G128" s="75">
        <f>IF(AND(ISNUMBER(B128),ISNUMBER(F128)),IF(F128&gt;0,B128/F128,""),"")</f>
        <v/>
      </c>
      <c r="H128" s="33" t="n"/>
      <c r="I128" s="35" t="n"/>
      <c r="J128" s="34">
        <f>IF(TRIM(A128)="",IF(COUNTA(B128:E128,H128:I128)&gt;0,"食材名がありません",""),IF(COUNTIF($A$5:$A$204,A128)&gt;1,"同じ食材名があります",IF(NOT(ISNUMBER(B128)),"仕入価格がありません",IF(NOT(ISNUMBER(C128)),"仕入量がありません",IF(C128&lt;=0,"仕入量がありません",IF(AND(ISNUMBER(E128),OR(E128&lt;=0,E128&gt;1)),"歩留まりは1〜100%で入れます",IF(TRIM(D128)="","単位がありません（g・ml・個など）","")))))))</f>
        <v/>
      </c>
    </row>
    <row r="129" ht="16" customHeight="1">
      <c r="A129" s="38" t="n"/>
      <c r="B129" s="40" t="n"/>
      <c r="C129" s="39" t="n"/>
      <c r="D129" s="36" t="n"/>
      <c r="E129" s="74" t="n"/>
      <c r="F129" s="70">
        <f>IF(AND(ISNUMBER(C129),C129&gt;0),C129*IF(ISNUMBER(E129),E129,1),"")</f>
        <v/>
      </c>
      <c r="G129" s="75">
        <f>IF(AND(ISNUMBER(B129),ISNUMBER(F129)),IF(F129&gt;0,B129/F129,""),"")</f>
        <v/>
      </c>
      <c r="H129" s="33" t="n"/>
      <c r="I129" s="35" t="n"/>
      <c r="J129" s="34">
        <f>IF(TRIM(A129)="",IF(COUNTA(B129:E129,H129:I129)&gt;0,"食材名がありません",""),IF(COUNTIF($A$5:$A$204,A129)&gt;1,"同じ食材名があります",IF(NOT(ISNUMBER(B129)),"仕入価格がありません",IF(NOT(ISNUMBER(C129)),"仕入量がありません",IF(C129&lt;=0,"仕入量がありません",IF(AND(ISNUMBER(E129),OR(E129&lt;=0,E129&gt;1)),"歩留まりは1〜100%で入れます",IF(TRIM(D129)="","単位がありません（g・ml・個など）","")))))))</f>
        <v/>
      </c>
    </row>
    <row r="130" ht="16" customHeight="1">
      <c r="A130" s="38" t="n"/>
      <c r="B130" s="40" t="n"/>
      <c r="C130" s="39" t="n"/>
      <c r="D130" s="36" t="n"/>
      <c r="E130" s="74" t="n"/>
      <c r="F130" s="70">
        <f>IF(AND(ISNUMBER(C130),C130&gt;0),C130*IF(ISNUMBER(E130),E130,1),"")</f>
        <v/>
      </c>
      <c r="G130" s="75">
        <f>IF(AND(ISNUMBER(B130),ISNUMBER(F130)),IF(F130&gt;0,B130/F130,""),"")</f>
        <v/>
      </c>
      <c r="H130" s="33" t="n"/>
      <c r="I130" s="35" t="n"/>
      <c r="J130" s="34">
        <f>IF(TRIM(A130)="",IF(COUNTA(B130:E130,H130:I130)&gt;0,"食材名がありません",""),IF(COUNTIF($A$5:$A$204,A130)&gt;1,"同じ食材名があります",IF(NOT(ISNUMBER(B130)),"仕入価格がありません",IF(NOT(ISNUMBER(C130)),"仕入量がありません",IF(C130&lt;=0,"仕入量がありません",IF(AND(ISNUMBER(E130),OR(E130&lt;=0,E130&gt;1)),"歩留まりは1〜100%で入れます",IF(TRIM(D130)="","単位がありません（g・ml・個など）","")))))))</f>
        <v/>
      </c>
    </row>
    <row r="131" ht="16" customHeight="1">
      <c r="A131" s="38" t="n"/>
      <c r="B131" s="40" t="n"/>
      <c r="C131" s="39" t="n"/>
      <c r="D131" s="36" t="n"/>
      <c r="E131" s="74" t="n"/>
      <c r="F131" s="70">
        <f>IF(AND(ISNUMBER(C131),C131&gt;0),C131*IF(ISNUMBER(E131),E131,1),"")</f>
        <v/>
      </c>
      <c r="G131" s="75">
        <f>IF(AND(ISNUMBER(B131),ISNUMBER(F131)),IF(F131&gt;0,B131/F131,""),"")</f>
        <v/>
      </c>
      <c r="H131" s="33" t="n"/>
      <c r="I131" s="35" t="n"/>
      <c r="J131" s="34">
        <f>IF(TRIM(A131)="",IF(COUNTA(B131:E131,H131:I131)&gt;0,"食材名がありません",""),IF(COUNTIF($A$5:$A$204,A131)&gt;1,"同じ食材名があります",IF(NOT(ISNUMBER(B131)),"仕入価格がありません",IF(NOT(ISNUMBER(C131)),"仕入量がありません",IF(C131&lt;=0,"仕入量がありません",IF(AND(ISNUMBER(E131),OR(E131&lt;=0,E131&gt;1)),"歩留まりは1〜100%で入れます",IF(TRIM(D131)="","単位がありません（g・ml・個など）","")))))))</f>
        <v/>
      </c>
    </row>
    <row r="132" ht="16" customHeight="1">
      <c r="A132" s="38" t="n"/>
      <c r="B132" s="40" t="n"/>
      <c r="C132" s="39" t="n"/>
      <c r="D132" s="36" t="n"/>
      <c r="E132" s="74" t="n"/>
      <c r="F132" s="70">
        <f>IF(AND(ISNUMBER(C132),C132&gt;0),C132*IF(ISNUMBER(E132),E132,1),"")</f>
        <v/>
      </c>
      <c r="G132" s="75">
        <f>IF(AND(ISNUMBER(B132),ISNUMBER(F132)),IF(F132&gt;0,B132/F132,""),"")</f>
        <v/>
      </c>
      <c r="H132" s="33" t="n"/>
      <c r="I132" s="35" t="n"/>
      <c r="J132" s="34">
        <f>IF(TRIM(A132)="",IF(COUNTA(B132:E132,H132:I132)&gt;0,"食材名がありません",""),IF(COUNTIF($A$5:$A$204,A132)&gt;1,"同じ食材名があります",IF(NOT(ISNUMBER(B132)),"仕入価格がありません",IF(NOT(ISNUMBER(C132)),"仕入量がありません",IF(C132&lt;=0,"仕入量がありません",IF(AND(ISNUMBER(E132),OR(E132&lt;=0,E132&gt;1)),"歩留まりは1〜100%で入れます",IF(TRIM(D132)="","単位がありません（g・ml・個など）","")))))))</f>
        <v/>
      </c>
    </row>
    <row r="133" ht="16" customHeight="1">
      <c r="A133" s="38" t="n"/>
      <c r="B133" s="40" t="n"/>
      <c r="C133" s="39" t="n"/>
      <c r="D133" s="36" t="n"/>
      <c r="E133" s="74" t="n"/>
      <c r="F133" s="70">
        <f>IF(AND(ISNUMBER(C133),C133&gt;0),C133*IF(ISNUMBER(E133),E133,1),"")</f>
        <v/>
      </c>
      <c r="G133" s="75">
        <f>IF(AND(ISNUMBER(B133),ISNUMBER(F133)),IF(F133&gt;0,B133/F133,""),"")</f>
        <v/>
      </c>
      <c r="H133" s="33" t="n"/>
      <c r="I133" s="35" t="n"/>
      <c r="J133" s="34">
        <f>IF(TRIM(A133)="",IF(COUNTA(B133:E133,H133:I133)&gt;0,"食材名がありません",""),IF(COUNTIF($A$5:$A$204,A133)&gt;1,"同じ食材名があります",IF(NOT(ISNUMBER(B133)),"仕入価格がありません",IF(NOT(ISNUMBER(C133)),"仕入量がありません",IF(C133&lt;=0,"仕入量がありません",IF(AND(ISNUMBER(E133),OR(E133&lt;=0,E133&gt;1)),"歩留まりは1〜100%で入れます",IF(TRIM(D133)="","単位がありません（g・ml・個など）","")))))))</f>
        <v/>
      </c>
    </row>
    <row r="134" ht="16" customHeight="1">
      <c r="A134" s="38" t="n"/>
      <c r="B134" s="40" t="n"/>
      <c r="C134" s="39" t="n"/>
      <c r="D134" s="36" t="n"/>
      <c r="E134" s="74" t="n"/>
      <c r="F134" s="70">
        <f>IF(AND(ISNUMBER(C134),C134&gt;0),C134*IF(ISNUMBER(E134),E134,1),"")</f>
        <v/>
      </c>
      <c r="G134" s="75">
        <f>IF(AND(ISNUMBER(B134),ISNUMBER(F134)),IF(F134&gt;0,B134/F134,""),"")</f>
        <v/>
      </c>
      <c r="H134" s="33" t="n"/>
      <c r="I134" s="35" t="n"/>
      <c r="J134" s="34">
        <f>IF(TRIM(A134)="",IF(COUNTA(B134:E134,H134:I134)&gt;0,"食材名がありません",""),IF(COUNTIF($A$5:$A$204,A134)&gt;1,"同じ食材名があります",IF(NOT(ISNUMBER(B134)),"仕入価格がありません",IF(NOT(ISNUMBER(C134)),"仕入量がありません",IF(C134&lt;=0,"仕入量がありません",IF(AND(ISNUMBER(E134),OR(E134&lt;=0,E134&gt;1)),"歩留まりは1〜100%で入れます",IF(TRIM(D134)="","単位がありません（g・ml・個など）","")))))))</f>
        <v/>
      </c>
    </row>
    <row r="135" ht="16" customHeight="1">
      <c r="A135" s="38" t="n"/>
      <c r="B135" s="40" t="n"/>
      <c r="C135" s="39" t="n"/>
      <c r="D135" s="36" t="n"/>
      <c r="E135" s="74" t="n"/>
      <c r="F135" s="70">
        <f>IF(AND(ISNUMBER(C135),C135&gt;0),C135*IF(ISNUMBER(E135),E135,1),"")</f>
        <v/>
      </c>
      <c r="G135" s="75">
        <f>IF(AND(ISNUMBER(B135),ISNUMBER(F135)),IF(F135&gt;0,B135/F135,""),"")</f>
        <v/>
      </c>
      <c r="H135" s="33" t="n"/>
      <c r="I135" s="35" t="n"/>
      <c r="J135" s="34">
        <f>IF(TRIM(A135)="",IF(COUNTA(B135:E135,H135:I135)&gt;0,"食材名がありません",""),IF(COUNTIF($A$5:$A$204,A135)&gt;1,"同じ食材名があります",IF(NOT(ISNUMBER(B135)),"仕入価格がありません",IF(NOT(ISNUMBER(C135)),"仕入量がありません",IF(C135&lt;=0,"仕入量がありません",IF(AND(ISNUMBER(E135),OR(E135&lt;=0,E135&gt;1)),"歩留まりは1〜100%で入れます",IF(TRIM(D135)="","単位がありません（g・ml・個など）","")))))))</f>
        <v/>
      </c>
    </row>
    <row r="136" ht="16" customHeight="1">
      <c r="A136" s="38" t="n"/>
      <c r="B136" s="40" t="n"/>
      <c r="C136" s="39" t="n"/>
      <c r="D136" s="36" t="n"/>
      <c r="E136" s="74" t="n"/>
      <c r="F136" s="70">
        <f>IF(AND(ISNUMBER(C136),C136&gt;0),C136*IF(ISNUMBER(E136),E136,1),"")</f>
        <v/>
      </c>
      <c r="G136" s="75">
        <f>IF(AND(ISNUMBER(B136),ISNUMBER(F136)),IF(F136&gt;0,B136/F136,""),"")</f>
        <v/>
      </c>
      <c r="H136" s="33" t="n"/>
      <c r="I136" s="35" t="n"/>
      <c r="J136" s="34">
        <f>IF(TRIM(A136)="",IF(COUNTA(B136:E136,H136:I136)&gt;0,"食材名がありません",""),IF(COUNTIF($A$5:$A$204,A136)&gt;1,"同じ食材名があります",IF(NOT(ISNUMBER(B136)),"仕入価格がありません",IF(NOT(ISNUMBER(C136)),"仕入量がありません",IF(C136&lt;=0,"仕入量がありません",IF(AND(ISNUMBER(E136),OR(E136&lt;=0,E136&gt;1)),"歩留まりは1〜100%で入れます",IF(TRIM(D136)="","単位がありません（g・ml・個など）","")))))))</f>
        <v/>
      </c>
    </row>
    <row r="137" ht="16" customHeight="1">
      <c r="A137" s="38" t="n"/>
      <c r="B137" s="40" t="n"/>
      <c r="C137" s="39" t="n"/>
      <c r="D137" s="36" t="n"/>
      <c r="E137" s="74" t="n"/>
      <c r="F137" s="70">
        <f>IF(AND(ISNUMBER(C137),C137&gt;0),C137*IF(ISNUMBER(E137),E137,1),"")</f>
        <v/>
      </c>
      <c r="G137" s="75">
        <f>IF(AND(ISNUMBER(B137),ISNUMBER(F137)),IF(F137&gt;0,B137/F137,""),"")</f>
        <v/>
      </c>
      <c r="H137" s="33" t="n"/>
      <c r="I137" s="35" t="n"/>
      <c r="J137" s="34">
        <f>IF(TRIM(A137)="",IF(COUNTA(B137:E137,H137:I137)&gt;0,"食材名がありません",""),IF(COUNTIF($A$5:$A$204,A137)&gt;1,"同じ食材名があります",IF(NOT(ISNUMBER(B137)),"仕入価格がありません",IF(NOT(ISNUMBER(C137)),"仕入量がありません",IF(C137&lt;=0,"仕入量がありません",IF(AND(ISNUMBER(E137),OR(E137&lt;=0,E137&gt;1)),"歩留まりは1〜100%で入れます",IF(TRIM(D137)="","単位がありません（g・ml・個など）","")))))))</f>
        <v/>
      </c>
    </row>
    <row r="138" ht="16" customHeight="1">
      <c r="A138" s="38" t="n"/>
      <c r="B138" s="40" t="n"/>
      <c r="C138" s="39" t="n"/>
      <c r="D138" s="36" t="n"/>
      <c r="E138" s="74" t="n"/>
      <c r="F138" s="70">
        <f>IF(AND(ISNUMBER(C138),C138&gt;0),C138*IF(ISNUMBER(E138),E138,1),"")</f>
        <v/>
      </c>
      <c r="G138" s="75">
        <f>IF(AND(ISNUMBER(B138),ISNUMBER(F138)),IF(F138&gt;0,B138/F138,""),"")</f>
        <v/>
      </c>
      <c r="H138" s="33" t="n"/>
      <c r="I138" s="35" t="n"/>
      <c r="J138" s="34">
        <f>IF(TRIM(A138)="",IF(COUNTA(B138:E138,H138:I138)&gt;0,"食材名がありません",""),IF(COUNTIF($A$5:$A$204,A138)&gt;1,"同じ食材名があります",IF(NOT(ISNUMBER(B138)),"仕入価格がありません",IF(NOT(ISNUMBER(C138)),"仕入量がありません",IF(C138&lt;=0,"仕入量がありません",IF(AND(ISNUMBER(E138),OR(E138&lt;=0,E138&gt;1)),"歩留まりは1〜100%で入れます",IF(TRIM(D138)="","単位がありません（g・ml・個など）","")))))))</f>
        <v/>
      </c>
    </row>
    <row r="139" ht="16" customHeight="1">
      <c r="A139" s="38" t="n"/>
      <c r="B139" s="40" t="n"/>
      <c r="C139" s="39" t="n"/>
      <c r="D139" s="36" t="n"/>
      <c r="E139" s="74" t="n"/>
      <c r="F139" s="70">
        <f>IF(AND(ISNUMBER(C139),C139&gt;0),C139*IF(ISNUMBER(E139),E139,1),"")</f>
        <v/>
      </c>
      <c r="G139" s="75">
        <f>IF(AND(ISNUMBER(B139),ISNUMBER(F139)),IF(F139&gt;0,B139/F139,""),"")</f>
        <v/>
      </c>
      <c r="H139" s="33" t="n"/>
      <c r="I139" s="35" t="n"/>
      <c r="J139" s="34">
        <f>IF(TRIM(A139)="",IF(COUNTA(B139:E139,H139:I139)&gt;0,"食材名がありません",""),IF(COUNTIF($A$5:$A$204,A139)&gt;1,"同じ食材名があります",IF(NOT(ISNUMBER(B139)),"仕入価格がありません",IF(NOT(ISNUMBER(C139)),"仕入量がありません",IF(C139&lt;=0,"仕入量がありません",IF(AND(ISNUMBER(E139),OR(E139&lt;=0,E139&gt;1)),"歩留まりは1〜100%で入れます",IF(TRIM(D139)="","単位がありません（g・ml・個など）","")))))))</f>
        <v/>
      </c>
    </row>
    <row r="140" ht="16" customHeight="1">
      <c r="A140" s="38" t="n"/>
      <c r="B140" s="40" t="n"/>
      <c r="C140" s="39" t="n"/>
      <c r="D140" s="36" t="n"/>
      <c r="E140" s="74" t="n"/>
      <c r="F140" s="70">
        <f>IF(AND(ISNUMBER(C140),C140&gt;0),C140*IF(ISNUMBER(E140),E140,1),"")</f>
        <v/>
      </c>
      <c r="G140" s="75">
        <f>IF(AND(ISNUMBER(B140),ISNUMBER(F140)),IF(F140&gt;0,B140/F140,""),"")</f>
        <v/>
      </c>
      <c r="H140" s="33" t="n"/>
      <c r="I140" s="35" t="n"/>
      <c r="J140" s="34">
        <f>IF(TRIM(A140)="",IF(COUNTA(B140:E140,H140:I140)&gt;0,"食材名がありません",""),IF(COUNTIF($A$5:$A$204,A140)&gt;1,"同じ食材名があります",IF(NOT(ISNUMBER(B140)),"仕入価格がありません",IF(NOT(ISNUMBER(C140)),"仕入量がありません",IF(C140&lt;=0,"仕入量がありません",IF(AND(ISNUMBER(E140),OR(E140&lt;=0,E140&gt;1)),"歩留まりは1〜100%で入れます",IF(TRIM(D140)="","単位がありません（g・ml・個など）","")))))))</f>
        <v/>
      </c>
    </row>
    <row r="141" ht="16" customHeight="1">
      <c r="A141" s="38" t="n"/>
      <c r="B141" s="40" t="n"/>
      <c r="C141" s="39" t="n"/>
      <c r="D141" s="36" t="n"/>
      <c r="E141" s="74" t="n"/>
      <c r="F141" s="70">
        <f>IF(AND(ISNUMBER(C141),C141&gt;0),C141*IF(ISNUMBER(E141),E141,1),"")</f>
        <v/>
      </c>
      <c r="G141" s="75">
        <f>IF(AND(ISNUMBER(B141),ISNUMBER(F141)),IF(F141&gt;0,B141/F141,""),"")</f>
        <v/>
      </c>
      <c r="H141" s="33" t="n"/>
      <c r="I141" s="35" t="n"/>
      <c r="J141" s="34">
        <f>IF(TRIM(A141)="",IF(COUNTA(B141:E141,H141:I141)&gt;0,"食材名がありません",""),IF(COUNTIF($A$5:$A$204,A141)&gt;1,"同じ食材名があります",IF(NOT(ISNUMBER(B141)),"仕入価格がありません",IF(NOT(ISNUMBER(C141)),"仕入量がありません",IF(C141&lt;=0,"仕入量がありません",IF(AND(ISNUMBER(E141),OR(E141&lt;=0,E141&gt;1)),"歩留まりは1〜100%で入れます",IF(TRIM(D141)="","単位がありません（g・ml・個など）","")))))))</f>
        <v/>
      </c>
    </row>
    <row r="142" ht="16" customHeight="1">
      <c r="A142" s="38" t="n"/>
      <c r="B142" s="40" t="n"/>
      <c r="C142" s="39" t="n"/>
      <c r="D142" s="36" t="n"/>
      <c r="E142" s="74" t="n"/>
      <c r="F142" s="70">
        <f>IF(AND(ISNUMBER(C142),C142&gt;0),C142*IF(ISNUMBER(E142),E142,1),"")</f>
        <v/>
      </c>
      <c r="G142" s="75">
        <f>IF(AND(ISNUMBER(B142),ISNUMBER(F142)),IF(F142&gt;0,B142/F142,""),"")</f>
        <v/>
      </c>
      <c r="H142" s="33" t="n"/>
      <c r="I142" s="35" t="n"/>
      <c r="J142" s="34">
        <f>IF(TRIM(A142)="",IF(COUNTA(B142:E142,H142:I142)&gt;0,"食材名がありません",""),IF(COUNTIF($A$5:$A$204,A142)&gt;1,"同じ食材名があります",IF(NOT(ISNUMBER(B142)),"仕入価格がありません",IF(NOT(ISNUMBER(C142)),"仕入量がありません",IF(C142&lt;=0,"仕入量がありません",IF(AND(ISNUMBER(E142),OR(E142&lt;=0,E142&gt;1)),"歩留まりは1〜100%で入れます",IF(TRIM(D142)="","単位がありません（g・ml・個など）","")))))))</f>
        <v/>
      </c>
    </row>
    <row r="143" ht="16" customHeight="1">
      <c r="A143" s="38" t="n"/>
      <c r="B143" s="40" t="n"/>
      <c r="C143" s="39" t="n"/>
      <c r="D143" s="36" t="n"/>
      <c r="E143" s="74" t="n"/>
      <c r="F143" s="70">
        <f>IF(AND(ISNUMBER(C143),C143&gt;0),C143*IF(ISNUMBER(E143),E143,1),"")</f>
        <v/>
      </c>
      <c r="G143" s="75">
        <f>IF(AND(ISNUMBER(B143),ISNUMBER(F143)),IF(F143&gt;0,B143/F143,""),"")</f>
        <v/>
      </c>
      <c r="H143" s="33" t="n"/>
      <c r="I143" s="35" t="n"/>
      <c r="J143" s="34">
        <f>IF(TRIM(A143)="",IF(COUNTA(B143:E143,H143:I143)&gt;0,"食材名がありません",""),IF(COUNTIF($A$5:$A$204,A143)&gt;1,"同じ食材名があります",IF(NOT(ISNUMBER(B143)),"仕入価格がありません",IF(NOT(ISNUMBER(C143)),"仕入量がありません",IF(C143&lt;=0,"仕入量がありません",IF(AND(ISNUMBER(E143),OR(E143&lt;=0,E143&gt;1)),"歩留まりは1〜100%で入れます",IF(TRIM(D143)="","単位がありません（g・ml・個など）","")))))))</f>
        <v/>
      </c>
    </row>
    <row r="144" ht="16" customHeight="1">
      <c r="A144" s="38" t="n"/>
      <c r="B144" s="40" t="n"/>
      <c r="C144" s="39" t="n"/>
      <c r="D144" s="36" t="n"/>
      <c r="E144" s="74" t="n"/>
      <c r="F144" s="70">
        <f>IF(AND(ISNUMBER(C144),C144&gt;0),C144*IF(ISNUMBER(E144),E144,1),"")</f>
        <v/>
      </c>
      <c r="G144" s="75">
        <f>IF(AND(ISNUMBER(B144),ISNUMBER(F144)),IF(F144&gt;0,B144/F144,""),"")</f>
        <v/>
      </c>
      <c r="H144" s="33" t="n"/>
      <c r="I144" s="35" t="n"/>
      <c r="J144" s="34">
        <f>IF(TRIM(A144)="",IF(COUNTA(B144:E144,H144:I144)&gt;0,"食材名がありません",""),IF(COUNTIF($A$5:$A$204,A144)&gt;1,"同じ食材名があります",IF(NOT(ISNUMBER(B144)),"仕入価格がありません",IF(NOT(ISNUMBER(C144)),"仕入量がありません",IF(C144&lt;=0,"仕入量がありません",IF(AND(ISNUMBER(E144),OR(E144&lt;=0,E144&gt;1)),"歩留まりは1〜100%で入れます",IF(TRIM(D144)="","単位がありません（g・ml・個など）","")))))))</f>
        <v/>
      </c>
    </row>
    <row r="145" ht="16" customHeight="1">
      <c r="A145" s="38" t="n"/>
      <c r="B145" s="40" t="n"/>
      <c r="C145" s="39" t="n"/>
      <c r="D145" s="36" t="n"/>
      <c r="E145" s="74" t="n"/>
      <c r="F145" s="70">
        <f>IF(AND(ISNUMBER(C145),C145&gt;0),C145*IF(ISNUMBER(E145),E145,1),"")</f>
        <v/>
      </c>
      <c r="G145" s="75">
        <f>IF(AND(ISNUMBER(B145),ISNUMBER(F145)),IF(F145&gt;0,B145/F145,""),"")</f>
        <v/>
      </c>
      <c r="H145" s="33" t="n"/>
      <c r="I145" s="35" t="n"/>
      <c r="J145" s="34">
        <f>IF(TRIM(A145)="",IF(COUNTA(B145:E145,H145:I145)&gt;0,"食材名がありません",""),IF(COUNTIF($A$5:$A$204,A145)&gt;1,"同じ食材名があります",IF(NOT(ISNUMBER(B145)),"仕入価格がありません",IF(NOT(ISNUMBER(C145)),"仕入量がありません",IF(C145&lt;=0,"仕入量がありません",IF(AND(ISNUMBER(E145),OR(E145&lt;=0,E145&gt;1)),"歩留まりは1〜100%で入れます",IF(TRIM(D145)="","単位がありません（g・ml・個など）","")))))))</f>
        <v/>
      </c>
    </row>
    <row r="146" ht="16" customHeight="1">
      <c r="A146" s="38" t="n"/>
      <c r="B146" s="40" t="n"/>
      <c r="C146" s="39" t="n"/>
      <c r="D146" s="36" t="n"/>
      <c r="E146" s="74" t="n"/>
      <c r="F146" s="70">
        <f>IF(AND(ISNUMBER(C146),C146&gt;0),C146*IF(ISNUMBER(E146),E146,1),"")</f>
        <v/>
      </c>
      <c r="G146" s="75">
        <f>IF(AND(ISNUMBER(B146),ISNUMBER(F146)),IF(F146&gt;0,B146/F146,""),"")</f>
        <v/>
      </c>
      <c r="H146" s="33" t="n"/>
      <c r="I146" s="35" t="n"/>
      <c r="J146" s="34">
        <f>IF(TRIM(A146)="",IF(COUNTA(B146:E146,H146:I146)&gt;0,"食材名がありません",""),IF(COUNTIF($A$5:$A$204,A146)&gt;1,"同じ食材名があります",IF(NOT(ISNUMBER(B146)),"仕入価格がありません",IF(NOT(ISNUMBER(C146)),"仕入量がありません",IF(C146&lt;=0,"仕入量がありません",IF(AND(ISNUMBER(E146),OR(E146&lt;=0,E146&gt;1)),"歩留まりは1〜100%で入れます",IF(TRIM(D146)="","単位がありません（g・ml・個など）","")))))))</f>
        <v/>
      </c>
    </row>
    <row r="147" ht="16" customHeight="1">
      <c r="A147" s="38" t="n"/>
      <c r="B147" s="40" t="n"/>
      <c r="C147" s="39" t="n"/>
      <c r="D147" s="36" t="n"/>
      <c r="E147" s="74" t="n"/>
      <c r="F147" s="70">
        <f>IF(AND(ISNUMBER(C147),C147&gt;0),C147*IF(ISNUMBER(E147),E147,1),"")</f>
        <v/>
      </c>
      <c r="G147" s="75">
        <f>IF(AND(ISNUMBER(B147),ISNUMBER(F147)),IF(F147&gt;0,B147/F147,""),"")</f>
        <v/>
      </c>
      <c r="H147" s="33" t="n"/>
      <c r="I147" s="35" t="n"/>
      <c r="J147" s="34">
        <f>IF(TRIM(A147)="",IF(COUNTA(B147:E147,H147:I147)&gt;0,"食材名がありません",""),IF(COUNTIF($A$5:$A$204,A147)&gt;1,"同じ食材名があります",IF(NOT(ISNUMBER(B147)),"仕入価格がありません",IF(NOT(ISNUMBER(C147)),"仕入量がありません",IF(C147&lt;=0,"仕入量がありません",IF(AND(ISNUMBER(E147),OR(E147&lt;=0,E147&gt;1)),"歩留まりは1〜100%で入れます",IF(TRIM(D147)="","単位がありません（g・ml・個など）","")))))))</f>
        <v/>
      </c>
    </row>
    <row r="148" ht="16" customHeight="1">
      <c r="A148" s="38" t="n"/>
      <c r="B148" s="40" t="n"/>
      <c r="C148" s="39" t="n"/>
      <c r="D148" s="36" t="n"/>
      <c r="E148" s="74" t="n"/>
      <c r="F148" s="70">
        <f>IF(AND(ISNUMBER(C148),C148&gt;0),C148*IF(ISNUMBER(E148),E148,1),"")</f>
        <v/>
      </c>
      <c r="G148" s="75">
        <f>IF(AND(ISNUMBER(B148),ISNUMBER(F148)),IF(F148&gt;0,B148/F148,""),"")</f>
        <v/>
      </c>
      <c r="H148" s="33" t="n"/>
      <c r="I148" s="35" t="n"/>
      <c r="J148" s="34">
        <f>IF(TRIM(A148)="",IF(COUNTA(B148:E148,H148:I148)&gt;0,"食材名がありません",""),IF(COUNTIF($A$5:$A$204,A148)&gt;1,"同じ食材名があります",IF(NOT(ISNUMBER(B148)),"仕入価格がありません",IF(NOT(ISNUMBER(C148)),"仕入量がありません",IF(C148&lt;=0,"仕入量がありません",IF(AND(ISNUMBER(E148),OR(E148&lt;=0,E148&gt;1)),"歩留まりは1〜100%で入れます",IF(TRIM(D148)="","単位がありません（g・ml・個など）","")))))))</f>
        <v/>
      </c>
    </row>
    <row r="149" ht="16" customHeight="1">
      <c r="A149" s="38" t="n"/>
      <c r="B149" s="40" t="n"/>
      <c r="C149" s="39" t="n"/>
      <c r="D149" s="36" t="n"/>
      <c r="E149" s="74" t="n"/>
      <c r="F149" s="70">
        <f>IF(AND(ISNUMBER(C149),C149&gt;0),C149*IF(ISNUMBER(E149),E149,1),"")</f>
        <v/>
      </c>
      <c r="G149" s="75">
        <f>IF(AND(ISNUMBER(B149),ISNUMBER(F149)),IF(F149&gt;0,B149/F149,""),"")</f>
        <v/>
      </c>
      <c r="H149" s="33" t="n"/>
      <c r="I149" s="35" t="n"/>
      <c r="J149" s="34">
        <f>IF(TRIM(A149)="",IF(COUNTA(B149:E149,H149:I149)&gt;0,"食材名がありません",""),IF(COUNTIF($A$5:$A$204,A149)&gt;1,"同じ食材名があります",IF(NOT(ISNUMBER(B149)),"仕入価格がありません",IF(NOT(ISNUMBER(C149)),"仕入量がありません",IF(C149&lt;=0,"仕入量がありません",IF(AND(ISNUMBER(E149),OR(E149&lt;=0,E149&gt;1)),"歩留まりは1〜100%で入れます",IF(TRIM(D149)="","単位がありません（g・ml・個など）","")))))))</f>
        <v/>
      </c>
    </row>
    <row r="150" ht="16" customHeight="1">
      <c r="A150" s="38" t="n"/>
      <c r="B150" s="40" t="n"/>
      <c r="C150" s="39" t="n"/>
      <c r="D150" s="36" t="n"/>
      <c r="E150" s="74" t="n"/>
      <c r="F150" s="70">
        <f>IF(AND(ISNUMBER(C150),C150&gt;0),C150*IF(ISNUMBER(E150),E150,1),"")</f>
        <v/>
      </c>
      <c r="G150" s="75">
        <f>IF(AND(ISNUMBER(B150),ISNUMBER(F150)),IF(F150&gt;0,B150/F150,""),"")</f>
        <v/>
      </c>
      <c r="H150" s="33" t="n"/>
      <c r="I150" s="35" t="n"/>
      <c r="J150" s="34">
        <f>IF(TRIM(A150)="",IF(COUNTA(B150:E150,H150:I150)&gt;0,"食材名がありません",""),IF(COUNTIF($A$5:$A$204,A150)&gt;1,"同じ食材名があります",IF(NOT(ISNUMBER(B150)),"仕入価格がありません",IF(NOT(ISNUMBER(C150)),"仕入量がありません",IF(C150&lt;=0,"仕入量がありません",IF(AND(ISNUMBER(E150),OR(E150&lt;=0,E150&gt;1)),"歩留まりは1〜100%で入れます",IF(TRIM(D150)="","単位がありません（g・ml・個など）","")))))))</f>
        <v/>
      </c>
    </row>
    <row r="151" ht="16" customHeight="1">
      <c r="A151" s="38" t="n"/>
      <c r="B151" s="40" t="n"/>
      <c r="C151" s="39" t="n"/>
      <c r="D151" s="36" t="n"/>
      <c r="E151" s="74" t="n"/>
      <c r="F151" s="70">
        <f>IF(AND(ISNUMBER(C151),C151&gt;0),C151*IF(ISNUMBER(E151),E151,1),"")</f>
        <v/>
      </c>
      <c r="G151" s="75">
        <f>IF(AND(ISNUMBER(B151),ISNUMBER(F151)),IF(F151&gt;0,B151/F151,""),"")</f>
        <v/>
      </c>
      <c r="H151" s="33" t="n"/>
      <c r="I151" s="35" t="n"/>
      <c r="J151" s="34">
        <f>IF(TRIM(A151)="",IF(COUNTA(B151:E151,H151:I151)&gt;0,"食材名がありません",""),IF(COUNTIF($A$5:$A$204,A151)&gt;1,"同じ食材名があります",IF(NOT(ISNUMBER(B151)),"仕入価格がありません",IF(NOT(ISNUMBER(C151)),"仕入量がありません",IF(C151&lt;=0,"仕入量がありません",IF(AND(ISNUMBER(E151),OR(E151&lt;=0,E151&gt;1)),"歩留まりは1〜100%で入れます",IF(TRIM(D151)="","単位がありません（g・ml・個など）","")))))))</f>
        <v/>
      </c>
    </row>
    <row r="152" ht="16" customHeight="1">
      <c r="A152" s="38" t="n"/>
      <c r="B152" s="40" t="n"/>
      <c r="C152" s="39" t="n"/>
      <c r="D152" s="36" t="n"/>
      <c r="E152" s="74" t="n"/>
      <c r="F152" s="70">
        <f>IF(AND(ISNUMBER(C152),C152&gt;0),C152*IF(ISNUMBER(E152),E152,1),"")</f>
        <v/>
      </c>
      <c r="G152" s="75">
        <f>IF(AND(ISNUMBER(B152),ISNUMBER(F152)),IF(F152&gt;0,B152/F152,""),"")</f>
        <v/>
      </c>
      <c r="H152" s="33" t="n"/>
      <c r="I152" s="35" t="n"/>
      <c r="J152" s="34">
        <f>IF(TRIM(A152)="",IF(COUNTA(B152:E152,H152:I152)&gt;0,"食材名がありません",""),IF(COUNTIF($A$5:$A$204,A152)&gt;1,"同じ食材名があります",IF(NOT(ISNUMBER(B152)),"仕入価格がありません",IF(NOT(ISNUMBER(C152)),"仕入量がありません",IF(C152&lt;=0,"仕入量がありません",IF(AND(ISNUMBER(E152),OR(E152&lt;=0,E152&gt;1)),"歩留まりは1〜100%で入れます",IF(TRIM(D152)="","単位がありません（g・ml・個など）","")))))))</f>
        <v/>
      </c>
    </row>
    <row r="153" ht="16" customHeight="1">
      <c r="A153" s="38" t="n"/>
      <c r="B153" s="40" t="n"/>
      <c r="C153" s="39" t="n"/>
      <c r="D153" s="36" t="n"/>
      <c r="E153" s="74" t="n"/>
      <c r="F153" s="70">
        <f>IF(AND(ISNUMBER(C153),C153&gt;0),C153*IF(ISNUMBER(E153),E153,1),"")</f>
        <v/>
      </c>
      <c r="G153" s="75">
        <f>IF(AND(ISNUMBER(B153),ISNUMBER(F153)),IF(F153&gt;0,B153/F153,""),"")</f>
        <v/>
      </c>
      <c r="H153" s="33" t="n"/>
      <c r="I153" s="35" t="n"/>
      <c r="J153" s="34">
        <f>IF(TRIM(A153)="",IF(COUNTA(B153:E153,H153:I153)&gt;0,"食材名がありません",""),IF(COUNTIF($A$5:$A$204,A153)&gt;1,"同じ食材名があります",IF(NOT(ISNUMBER(B153)),"仕入価格がありません",IF(NOT(ISNUMBER(C153)),"仕入量がありません",IF(C153&lt;=0,"仕入量がありません",IF(AND(ISNUMBER(E153),OR(E153&lt;=0,E153&gt;1)),"歩留まりは1〜100%で入れます",IF(TRIM(D153)="","単位がありません（g・ml・個など）","")))))))</f>
        <v/>
      </c>
    </row>
    <row r="154" ht="16" customHeight="1">
      <c r="A154" s="38" t="n"/>
      <c r="B154" s="40" t="n"/>
      <c r="C154" s="39" t="n"/>
      <c r="D154" s="36" t="n"/>
      <c r="E154" s="74" t="n"/>
      <c r="F154" s="70">
        <f>IF(AND(ISNUMBER(C154),C154&gt;0),C154*IF(ISNUMBER(E154),E154,1),"")</f>
        <v/>
      </c>
      <c r="G154" s="75">
        <f>IF(AND(ISNUMBER(B154),ISNUMBER(F154)),IF(F154&gt;0,B154/F154,""),"")</f>
        <v/>
      </c>
      <c r="H154" s="33" t="n"/>
      <c r="I154" s="35" t="n"/>
      <c r="J154" s="34">
        <f>IF(TRIM(A154)="",IF(COUNTA(B154:E154,H154:I154)&gt;0,"食材名がありません",""),IF(COUNTIF($A$5:$A$204,A154)&gt;1,"同じ食材名があります",IF(NOT(ISNUMBER(B154)),"仕入価格がありません",IF(NOT(ISNUMBER(C154)),"仕入量がありません",IF(C154&lt;=0,"仕入量がありません",IF(AND(ISNUMBER(E154),OR(E154&lt;=0,E154&gt;1)),"歩留まりは1〜100%で入れます",IF(TRIM(D154)="","単位がありません（g・ml・個など）","")))))))</f>
        <v/>
      </c>
    </row>
    <row r="155" ht="16" customHeight="1">
      <c r="A155" s="38" t="n"/>
      <c r="B155" s="40" t="n"/>
      <c r="C155" s="39" t="n"/>
      <c r="D155" s="36" t="n"/>
      <c r="E155" s="74" t="n"/>
      <c r="F155" s="70">
        <f>IF(AND(ISNUMBER(C155),C155&gt;0),C155*IF(ISNUMBER(E155),E155,1),"")</f>
        <v/>
      </c>
      <c r="G155" s="75">
        <f>IF(AND(ISNUMBER(B155),ISNUMBER(F155)),IF(F155&gt;0,B155/F155,""),"")</f>
        <v/>
      </c>
      <c r="H155" s="33" t="n"/>
      <c r="I155" s="35" t="n"/>
      <c r="J155" s="34">
        <f>IF(TRIM(A155)="",IF(COUNTA(B155:E155,H155:I155)&gt;0,"食材名がありません",""),IF(COUNTIF($A$5:$A$204,A155)&gt;1,"同じ食材名があります",IF(NOT(ISNUMBER(B155)),"仕入価格がありません",IF(NOT(ISNUMBER(C155)),"仕入量がありません",IF(C155&lt;=0,"仕入量がありません",IF(AND(ISNUMBER(E155),OR(E155&lt;=0,E155&gt;1)),"歩留まりは1〜100%で入れます",IF(TRIM(D155)="","単位がありません（g・ml・個など）","")))))))</f>
        <v/>
      </c>
    </row>
    <row r="156" ht="16" customHeight="1">
      <c r="A156" s="38" t="n"/>
      <c r="B156" s="40" t="n"/>
      <c r="C156" s="39" t="n"/>
      <c r="D156" s="36" t="n"/>
      <c r="E156" s="74" t="n"/>
      <c r="F156" s="70">
        <f>IF(AND(ISNUMBER(C156),C156&gt;0),C156*IF(ISNUMBER(E156),E156,1),"")</f>
        <v/>
      </c>
      <c r="G156" s="75">
        <f>IF(AND(ISNUMBER(B156),ISNUMBER(F156)),IF(F156&gt;0,B156/F156,""),"")</f>
        <v/>
      </c>
      <c r="H156" s="33" t="n"/>
      <c r="I156" s="35" t="n"/>
      <c r="J156" s="34">
        <f>IF(TRIM(A156)="",IF(COUNTA(B156:E156,H156:I156)&gt;0,"食材名がありません",""),IF(COUNTIF($A$5:$A$204,A156)&gt;1,"同じ食材名があります",IF(NOT(ISNUMBER(B156)),"仕入価格がありません",IF(NOT(ISNUMBER(C156)),"仕入量がありません",IF(C156&lt;=0,"仕入量がありません",IF(AND(ISNUMBER(E156),OR(E156&lt;=0,E156&gt;1)),"歩留まりは1〜100%で入れます",IF(TRIM(D156)="","単位がありません（g・ml・個など）","")))))))</f>
        <v/>
      </c>
    </row>
    <row r="157" ht="16" customHeight="1">
      <c r="A157" s="38" t="n"/>
      <c r="B157" s="40" t="n"/>
      <c r="C157" s="39" t="n"/>
      <c r="D157" s="36" t="n"/>
      <c r="E157" s="74" t="n"/>
      <c r="F157" s="70">
        <f>IF(AND(ISNUMBER(C157),C157&gt;0),C157*IF(ISNUMBER(E157),E157,1),"")</f>
        <v/>
      </c>
      <c r="G157" s="75">
        <f>IF(AND(ISNUMBER(B157),ISNUMBER(F157)),IF(F157&gt;0,B157/F157,""),"")</f>
        <v/>
      </c>
      <c r="H157" s="33" t="n"/>
      <c r="I157" s="35" t="n"/>
      <c r="J157" s="34">
        <f>IF(TRIM(A157)="",IF(COUNTA(B157:E157,H157:I157)&gt;0,"食材名がありません",""),IF(COUNTIF($A$5:$A$204,A157)&gt;1,"同じ食材名があります",IF(NOT(ISNUMBER(B157)),"仕入価格がありません",IF(NOT(ISNUMBER(C157)),"仕入量がありません",IF(C157&lt;=0,"仕入量がありません",IF(AND(ISNUMBER(E157),OR(E157&lt;=0,E157&gt;1)),"歩留まりは1〜100%で入れます",IF(TRIM(D157)="","単位がありません（g・ml・個など）","")))))))</f>
        <v/>
      </c>
    </row>
    <row r="158" ht="16" customHeight="1">
      <c r="A158" s="38" t="n"/>
      <c r="B158" s="40" t="n"/>
      <c r="C158" s="39" t="n"/>
      <c r="D158" s="36" t="n"/>
      <c r="E158" s="74" t="n"/>
      <c r="F158" s="70">
        <f>IF(AND(ISNUMBER(C158),C158&gt;0),C158*IF(ISNUMBER(E158),E158,1),"")</f>
        <v/>
      </c>
      <c r="G158" s="75">
        <f>IF(AND(ISNUMBER(B158),ISNUMBER(F158)),IF(F158&gt;0,B158/F158,""),"")</f>
        <v/>
      </c>
      <c r="H158" s="33" t="n"/>
      <c r="I158" s="35" t="n"/>
      <c r="J158" s="34">
        <f>IF(TRIM(A158)="",IF(COUNTA(B158:E158,H158:I158)&gt;0,"食材名がありません",""),IF(COUNTIF($A$5:$A$204,A158)&gt;1,"同じ食材名があります",IF(NOT(ISNUMBER(B158)),"仕入価格がありません",IF(NOT(ISNUMBER(C158)),"仕入量がありません",IF(C158&lt;=0,"仕入量がありません",IF(AND(ISNUMBER(E158),OR(E158&lt;=0,E158&gt;1)),"歩留まりは1〜100%で入れます",IF(TRIM(D158)="","単位がありません（g・ml・個など）","")))))))</f>
        <v/>
      </c>
    </row>
    <row r="159" ht="16" customHeight="1">
      <c r="A159" s="38" t="n"/>
      <c r="B159" s="40" t="n"/>
      <c r="C159" s="39" t="n"/>
      <c r="D159" s="36" t="n"/>
      <c r="E159" s="74" t="n"/>
      <c r="F159" s="70">
        <f>IF(AND(ISNUMBER(C159),C159&gt;0),C159*IF(ISNUMBER(E159),E159,1),"")</f>
        <v/>
      </c>
      <c r="G159" s="75">
        <f>IF(AND(ISNUMBER(B159),ISNUMBER(F159)),IF(F159&gt;0,B159/F159,""),"")</f>
        <v/>
      </c>
      <c r="H159" s="33" t="n"/>
      <c r="I159" s="35" t="n"/>
      <c r="J159" s="34">
        <f>IF(TRIM(A159)="",IF(COUNTA(B159:E159,H159:I159)&gt;0,"食材名がありません",""),IF(COUNTIF($A$5:$A$204,A159)&gt;1,"同じ食材名があります",IF(NOT(ISNUMBER(B159)),"仕入価格がありません",IF(NOT(ISNUMBER(C159)),"仕入量がありません",IF(C159&lt;=0,"仕入量がありません",IF(AND(ISNUMBER(E159),OR(E159&lt;=0,E159&gt;1)),"歩留まりは1〜100%で入れます",IF(TRIM(D159)="","単位がありません（g・ml・個など）","")))))))</f>
        <v/>
      </c>
    </row>
    <row r="160" ht="16" customHeight="1">
      <c r="A160" s="38" t="n"/>
      <c r="B160" s="40" t="n"/>
      <c r="C160" s="39" t="n"/>
      <c r="D160" s="36" t="n"/>
      <c r="E160" s="74" t="n"/>
      <c r="F160" s="70">
        <f>IF(AND(ISNUMBER(C160),C160&gt;0),C160*IF(ISNUMBER(E160),E160,1),"")</f>
        <v/>
      </c>
      <c r="G160" s="75">
        <f>IF(AND(ISNUMBER(B160),ISNUMBER(F160)),IF(F160&gt;0,B160/F160,""),"")</f>
        <v/>
      </c>
      <c r="H160" s="33" t="n"/>
      <c r="I160" s="35" t="n"/>
      <c r="J160" s="34">
        <f>IF(TRIM(A160)="",IF(COUNTA(B160:E160,H160:I160)&gt;0,"食材名がありません",""),IF(COUNTIF($A$5:$A$204,A160)&gt;1,"同じ食材名があります",IF(NOT(ISNUMBER(B160)),"仕入価格がありません",IF(NOT(ISNUMBER(C160)),"仕入量がありません",IF(C160&lt;=0,"仕入量がありません",IF(AND(ISNUMBER(E160),OR(E160&lt;=0,E160&gt;1)),"歩留まりは1〜100%で入れます",IF(TRIM(D160)="","単位がありません（g・ml・個など）","")))))))</f>
        <v/>
      </c>
    </row>
    <row r="161" ht="16" customHeight="1">
      <c r="A161" s="38" t="n"/>
      <c r="B161" s="40" t="n"/>
      <c r="C161" s="39" t="n"/>
      <c r="D161" s="36" t="n"/>
      <c r="E161" s="74" t="n"/>
      <c r="F161" s="70">
        <f>IF(AND(ISNUMBER(C161),C161&gt;0),C161*IF(ISNUMBER(E161),E161,1),"")</f>
        <v/>
      </c>
      <c r="G161" s="75">
        <f>IF(AND(ISNUMBER(B161),ISNUMBER(F161)),IF(F161&gt;0,B161/F161,""),"")</f>
        <v/>
      </c>
      <c r="H161" s="33" t="n"/>
      <c r="I161" s="35" t="n"/>
      <c r="J161" s="34">
        <f>IF(TRIM(A161)="",IF(COUNTA(B161:E161,H161:I161)&gt;0,"食材名がありません",""),IF(COUNTIF($A$5:$A$204,A161)&gt;1,"同じ食材名があります",IF(NOT(ISNUMBER(B161)),"仕入価格がありません",IF(NOT(ISNUMBER(C161)),"仕入量がありません",IF(C161&lt;=0,"仕入量がありません",IF(AND(ISNUMBER(E161),OR(E161&lt;=0,E161&gt;1)),"歩留まりは1〜100%で入れます",IF(TRIM(D161)="","単位がありません（g・ml・個など）","")))))))</f>
        <v/>
      </c>
    </row>
    <row r="162" ht="16" customHeight="1">
      <c r="A162" s="38" t="n"/>
      <c r="B162" s="40" t="n"/>
      <c r="C162" s="39" t="n"/>
      <c r="D162" s="36" t="n"/>
      <c r="E162" s="74" t="n"/>
      <c r="F162" s="70">
        <f>IF(AND(ISNUMBER(C162),C162&gt;0),C162*IF(ISNUMBER(E162),E162,1),"")</f>
        <v/>
      </c>
      <c r="G162" s="75">
        <f>IF(AND(ISNUMBER(B162),ISNUMBER(F162)),IF(F162&gt;0,B162/F162,""),"")</f>
        <v/>
      </c>
      <c r="H162" s="33" t="n"/>
      <c r="I162" s="35" t="n"/>
      <c r="J162" s="34">
        <f>IF(TRIM(A162)="",IF(COUNTA(B162:E162,H162:I162)&gt;0,"食材名がありません",""),IF(COUNTIF($A$5:$A$204,A162)&gt;1,"同じ食材名があります",IF(NOT(ISNUMBER(B162)),"仕入価格がありません",IF(NOT(ISNUMBER(C162)),"仕入量がありません",IF(C162&lt;=0,"仕入量がありません",IF(AND(ISNUMBER(E162),OR(E162&lt;=0,E162&gt;1)),"歩留まりは1〜100%で入れます",IF(TRIM(D162)="","単位がありません（g・ml・個など）","")))))))</f>
        <v/>
      </c>
    </row>
    <row r="163" ht="16" customHeight="1">
      <c r="A163" s="38" t="n"/>
      <c r="B163" s="40" t="n"/>
      <c r="C163" s="39" t="n"/>
      <c r="D163" s="36" t="n"/>
      <c r="E163" s="74" t="n"/>
      <c r="F163" s="70">
        <f>IF(AND(ISNUMBER(C163),C163&gt;0),C163*IF(ISNUMBER(E163),E163,1),"")</f>
        <v/>
      </c>
      <c r="G163" s="75">
        <f>IF(AND(ISNUMBER(B163),ISNUMBER(F163)),IF(F163&gt;0,B163/F163,""),"")</f>
        <v/>
      </c>
      <c r="H163" s="33" t="n"/>
      <c r="I163" s="35" t="n"/>
      <c r="J163" s="34">
        <f>IF(TRIM(A163)="",IF(COUNTA(B163:E163,H163:I163)&gt;0,"食材名がありません",""),IF(COUNTIF($A$5:$A$204,A163)&gt;1,"同じ食材名があります",IF(NOT(ISNUMBER(B163)),"仕入価格がありません",IF(NOT(ISNUMBER(C163)),"仕入量がありません",IF(C163&lt;=0,"仕入量がありません",IF(AND(ISNUMBER(E163),OR(E163&lt;=0,E163&gt;1)),"歩留まりは1〜100%で入れます",IF(TRIM(D163)="","単位がありません（g・ml・個など）","")))))))</f>
        <v/>
      </c>
    </row>
    <row r="164" ht="16" customHeight="1">
      <c r="A164" s="38" t="n"/>
      <c r="B164" s="40" t="n"/>
      <c r="C164" s="39" t="n"/>
      <c r="D164" s="36" t="n"/>
      <c r="E164" s="74" t="n"/>
      <c r="F164" s="70">
        <f>IF(AND(ISNUMBER(C164),C164&gt;0),C164*IF(ISNUMBER(E164),E164,1),"")</f>
        <v/>
      </c>
      <c r="G164" s="75">
        <f>IF(AND(ISNUMBER(B164),ISNUMBER(F164)),IF(F164&gt;0,B164/F164,""),"")</f>
        <v/>
      </c>
      <c r="H164" s="33" t="n"/>
      <c r="I164" s="35" t="n"/>
      <c r="J164" s="34">
        <f>IF(TRIM(A164)="",IF(COUNTA(B164:E164,H164:I164)&gt;0,"食材名がありません",""),IF(COUNTIF($A$5:$A$204,A164)&gt;1,"同じ食材名があります",IF(NOT(ISNUMBER(B164)),"仕入価格がありません",IF(NOT(ISNUMBER(C164)),"仕入量がありません",IF(C164&lt;=0,"仕入量がありません",IF(AND(ISNUMBER(E164),OR(E164&lt;=0,E164&gt;1)),"歩留まりは1〜100%で入れます",IF(TRIM(D164)="","単位がありません（g・ml・個など）","")))))))</f>
        <v/>
      </c>
    </row>
    <row r="165" ht="16" customHeight="1">
      <c r="A165" s="38" t="n"/>
      <c r="B165" s="40" t="n"/>
      <c r="C165" s="39" t="n"/>
      <c r="D165" s="36" t="n"/>
      <c r="E165" s="74" t="n"/>
      <c r="F165" s="70">
        <f>IF(AND(ISNUMBER(C165),C165&gt;0),C165*IF(ISNUMBER(E165),E165,1),"")</f>
        <v/>
      </c>
      <c r="G165" s="75">
        <f>IF(AND(ISNUMBER(B165),ISNUMBER(F165)),IF(F165&gt;0,B165/F165,""),"")</f>
        <v/>
      </c>
      <c r="H165" s="33" t="n"/>
      <c r="I165" s="35" t="n"/>
      <c r="J165" s="34">
        <f>IF(TRIM(A165)="",IF(COUNTA(B165:E165,H165:I165)&gt;0,"食材名がありません",""),IF(COUNTIF($A$5:$A$204,A165)&gt;1,"同じ食材名があります",IF(NOT(ISNUMBER(B165)),"仕入価格がありません",IF(NOT(ISNUMBER(C165)),"仕入量がありません",IF(C165&lt;=0,"仕入量がありません",IF(AND(ISNUMBER(E165),OR(E165&lt;=0,E165&gt;1)),"歩留まりは1〜100%で入れます",IF(TRIM(D165)="","単位がありません（g・ml・個など）","")))))))</f>
        <v/>
      </c>
    </row>
    <row r="166" ht="16" customHeight="1">
      <c r="A166" s="38" t="n"/>
      <c r="B166" s="40" t="n"/>
      <c r="C166" s="39" t="n"/>
      <c r="D166" s="36" t="n"/>
      <c r="E166" s="74" t="n"/>
      <c r="F166" s="70">
        <f>IF(AND(ISNUMBER(C166),C166&gt;0),C166*IF(ISNUMBER(E166),E166,1),"")</f>
        <v/>
      </c>
      <c r="G166" s="75">
        <f>IF(AND(ISNUMBER(B166),ISNUMBER(F166)),IF(F166&gt;0,B166/F166,""),"")</f>
        <v/>
      </c>
      <c r="H166" s="33" t="n"/>
      <c r="I166" s="35" t="n"/>
      <c r="J166" s="34">
        <f>IF(TRIM(A166)="",IF(COUNTA(B166:E166,H166:I166)&gt;0,"食材名がありません",""),IF(COUNTIF($A$5:$A$204,A166)&gt;1,"同じ食材名があります",IF(NOT(ISNUMBER(B166)),"仕入価格がありません",IF(NOT(ISNUMBER(C166)),"仕入量がありません",IF(C166&lt;=0,"仕入量がありません",IF(AND(ISNUMBER(E166),OR(E166&lt;=0,E166&gt;1)),"歩留まりは1〜100%で入れます",IF(TRIM(D166)="","単位がありません（g・ml・個など）","")))))))</f>
        <v/>
      </c>
    </row>
    <row r="167" ht="16" customHeight="1">
      <c r="A167" s="38" t="n"/>
      <c r="B167" s="40" t="n"/>
      <c r="C167" s="39" t="n"/>
      <c r="D167" s="36" t="n"/>
      <c r="E167" s="74" t="n"/>
      <c r="F167" s="70">
        <f>IF(AND(ISNUMBER(C167),C167&gt;0),C167*IF(ISNUMBER(E167),E167,1),"")</f>
        <v/>
      </c>
      <c r="G167" s="75">
        <f>IF(AND(ISNUMBER(B167),ISNUMBER(F167)),IF(F167&gt;0,B167/F167,""),"")</f>
        <v/>
      </c>
      <c r="H167" s="33" t="n"/>
      <c r="I167" s="35" t="n"/>
      <c r="J167" s="34">
        <f>IF(TRIM(A167)="",IF(COUNTA(B167:E167,H167:I167)&gt;0,"食材名がありません",""),IF(COUNTIF($A$5:$A$204,A167)&gt;1,"同じ食材名があります",IF(NOT(ISNUMBER(B167)),"仕入価格がありません",IF(NOT(ISNUMBER(C167)),"仕入量がありません",IF(C167&lt;=0,"仕入量がありません",IF(AND(ISNUMBER(E167),OR(E167&lt;=0,E167&gt;1)),"歩留まりは1〜100%で入れます",IF(TRIM(D167)="","単位がありません（g・ml・個など）","")))))))</f>
        <v/>
      </c>
    </row>
    <row r="168" ht="16" customHeight="1">
      <c r="A168" s="38" t="n"/>
      <c r="B168" s="40" t="n"/>
      <c r="C168" s="39" t="n"/>
      <c r="D168" s="36" t="n"/>
      <c r="E168" s="74" t="n"/>
      <c r="F168" s="70">
        <f>IF(AND(ISNUMBER(C168),C168&gt;0),C168*IF(ISNUMBER(E168),E168,1),"")</f>
        <v/>
      </c>
      <c r="G168" s="75">
        <f>IF(AND(ISNUMBER(B168),ISNUMBER(F168)),IF(F168&gt;0,B168/F168,""),"")</f>
        <v/>
      </c>
      <c r="H168" s="33" t="n"/>
      <c r="I168" s="35" t="n"/>
      <c r="J168" s="34">
        <f>IF(TRIM(A168)="",IF(COUNTA(B168:E168,H168:I168)&gt;0,"食材名がありません",""),IF(COUNTIF($A$5:$A$204,A168)&gt;1,"同じ食材名があります",IF(NOT(ISNUMBER(B168)),"仕入価格がありません",IF(NOT(ISNUMBER(C168)),"仕入量がありません",IF(C168&lt;=0,"仕入量がありません",IF(AND(ISNUMBER(E168),OR(E168&lt;=0,E168&gt;1)),"歩留まりは1〜100%で入れます",IF(TRIM(D168)="","単位がありません（g・ml・個など）","")))))))</f>
        <v/>
      </c>
    </row>
    <row r="169" ht="16" customHeight="1">
      <c r="A169" s="38" t="n"/>
      <c r="B169" s="40" t="n"/>
      <c r="C169" s="39" t="n"/>
      <c r="D169" s="36" t="n"/>
      <c r="E169" s="74" t="n"/>
      <c r="F169" s="70">
        <f>IF(AND(ISNUMBER(C169),C169&gt;0),C169*IF(ISNUMBER(E169),E169,1),"")</f>
        <v/>
      </c>
      <c r="G169" s="75">
        <f>IF(AND(ISNUMBER(B169),ISNUMBER(F169)),IF(F169&gt;0,B169/F169,""),"")</f>
        <v/>
      </c>
      <c r="H169" s="33" t="n"/>
      <c r="I169" s="35" t="n"/>
      <c r="J169" s="34">
        <f>IF(TRIM(A169)="",IF(COUNTA(B169:E169,H169:I169)&gt;0,"食材名がありません",""),IF(COUNTIF($A$5:$A$204,A169)&gt;1,"同じ食材名があります",IF(NOT(ISNUMBER(B169)),"仕入価格がありません",IF(NOT(ISNUMBER(C169)),"仕入量がありません",IF(C169&lt;=0,"仕入量がありません",IF(AND(ISNUMBER(E169),OR(E169&lt;=0,E169&gt;1)),"歩留まりは1〜100%で入れます",IF(TRIM(D169)="","単位がありません（g・ml・個など）","")))))))</f>
        <v/>
      </c>
    </row>
    <row r="170" ht="16" customHeight="1">
      <c r="A170" s="38" t="n"/>
      <c r="B170" s="40" t="n"/>
      <c r="C170" s="39" t="n"/>
      <c r="D170" s="36" t="n"/>
      <c r="E170" s="74" t="n"/>
      <c r="F170" s="70">
        <f>IF(AND(ISNUMBER(C170),C170&gt;0),C170*IF(ISNUMBER(E170),E170,1),"")</f>
        <v/>
      </c>
      <c r="G170" s="75">
        <f>IF(AND(ISNUMBER(B170),ISNUMBER(F170)),IF(F170&gt;0,B170/F170,""),"")</f>
        <v/>
      </c>
      <c r="H170" s="33" t="n"/>
      <c r="I170" s="35" t="n"/>
      <c r="J170" s="34">
        <f>IF(TRIM(A170)="",IF(COUNTA(B170:E170,H170:I170)&gt;0,"食材名がありません",""),IF(COUNTIF($A$5:$A$204,A170)&gt;1,"同じ食材名があります",IF(NOT(ISNUMBER(B170)),"仕入価格がありません",IF(NOT(ISNUMBER(C170)),"仕入量がありません",IF(C170&lt;=0,"仕入量がありません",IF(AND(ISNUMBER(E170),OR(E170&lt;=0,E170&gt;1)),"歩留まりは1〜100%で入れます",IF(TRIM(D170)="","単位がありません（g・ml・個など）","")))))))</f>
        <v/>
      </c>
    </row>
    <row r="171" ht="16" customHeight="1">
      <c r="A171" s="38" t="n"/>
      <c r="B171" s="40" t="n"/>
      <c r="C171" s="39" t="n"/>
      <c r="D171" s="36" t="n"/>
      <c r="E171" s="74" t="n"/>
      <c r="F171" s="70">
        <f>IF(AND(ISNUMBER(C171),C171&gt;0),C171*IF(ISNUMBER(E171),E171,1),"")</f>
        <v/>
      </c>
      <c r="G171" s="75">
        <f>IF(AND(ISNUMBER(B171),ISNUMBER(F171)),IF(F171&gt;0,B171/F171,""),"")</f>
        <v/>
      </c>
      <c r="H171" s="33" t="n"/>
      <c r="I171" s="35" t="n"/>
      <c r="J171" s="34">
        <f>IF(TRIM(A171)="",IF(COUNTA(B171:E171,H171:I171)&gt;0,"食材名がありません",""),IF(COUNTIF($A$5:$A$204,A171)&gt;1,"同じ食材名があります",IF(NOT(ISNUMBER(B171)),"仕入価格がありません",IF(NOT(ISNUMBER(C171)),"仕入量がありません",IF(C171&lt;=0,"仕入量がありません",IF(AND(ISNUMBER(E171),OR(E171&lt;=0,E171&gt;1)),"歩留まりは1〜100%で入れます",IF(TRIM(D171)="","単位がありません（g・ml・個など）","")))))))</f>
        <v/>
      </c>
    </row>
    <row r="172" ht="16" customHeight="1">
      <c r="A172" s="38" t="n"/>
      <c r="B172" s="40" t="n"/>
      <c r="C172" s="39" t="n"/>
      <c r="D172" s="36" t="n"/>
      <c r="E172" s="74" t="n"/>
      <c r="F172" s="70">
        <f>IF(AND(ISNUMBER(C172),C172&gt;0),C172*IF(ISNUMBER(E172),E172,1),"")</f>
        <v/>
      </c>
      <c r="G172" s="75">
        <f>IF(AND(ISNUMBER(B172),ISNUMBER(F172)),IF(F172&gt;0,B172/F172,""),"")</f>
        <v/>
      </c>
      <c r="H172" s="33" t="n"/>
      <c r="I172" s="35" t="n"/>
      <c r="J172" s="34">
        <f>IF(TRIM(A172)="",IF(COUNTA(B172:E172,H172:I172)&gt;0,"食材名がありません",""),IF(COUNTIF($A$5:$A$204,A172)&gt;1,"同じ食材名があります",IF(NOT(ISNUMBER(B172)),"仕入価格がありません",IF(NOT(ISNUMBER(C172)),"仕入量がありません",IF(C172&lt;=0,"仕入量がありません",IF(AND(ISNUMBER(E172),OR(E172&lt;=0,E172&gt;1)),"歩留まりは1〜100%で入れます",IF(TRIM(D172)="","単位がありません（g・ml・個など）","")))))))</f>
        <v/>
      </c>
    </row>
    <row r="173" ht="16" customHeight="1">
      <c r="A173" s="38" t="n"/>
      <c r="B173" s="40" t="n"/>
      <c r="C173" s="39" t="n"/>
      <c r="D173" s="36" t="n"/>
      <c r="E173" s="74" t="n"/>
      <c r="F173" s="70">
        <f>IF(AND(ISNUMBER(C173),C173&gt;0),C173*IF(ISNUMBER(E173),E173,1),"")</f>
        <v/>
      </c>
      <c r="G173" s="75">
        <f>IF(AND(ISNUMBER(B173),ISNUMBER(F173)),IF(F173&gt;0,B173/F173,""),"")</f>
        <v/>
      </c>
      <c r="H173" s="33" t="n"/>
      <c r="I173" s="35" t="n"/>
      <c r="J173" s="34">
        <f>IF(TRIM(A173)="",IF(COUNTA(B173:E173,H173:I173)&gt;0,"食材名がありません",""),IF(COUNTIF($A$5:$A$204,A173)&gt;1,"同じ食材名があります",IF(NOT(ISNUMBER(B173)),"仕入価格がありません",IF(NOT(ISNUMBER(C173)),"仕入量がありません",IF(C173&lt;=0,"仕入量がありません",IF(AND(ISNUMBER(E173),OR(E173&lt;=0,E173&gt;1)),"歩留まりは1〜100%で入れます",IF(TRIM(D173)="","単位がありません（g・ml・個など）","")))))))</f>
        <v/>
      </c>
    </row>
    <row r="174" ht="16" customHeight="1">
      <c r="A174" s="38" t="n"/>
      <c r="B174" s="40" t="n"/>
      <c r="C174" s="39" t="n"/>
      <c r="D174" s="36" t="n"/>
      <c r="E174" s="74" t="n"/>
      <c r="F174" s="70">
        <f>IF(AND(ISNUMBER(C174),C174&gt;0),C174*IF(ISNUMBER(E174),E174,1),"")</f>
        <v/>
      </c>
      <c r="G174" s="75">
        <f>IF(AND(ISNUMBER(B174),ISNUMBER(F174)),IF(F174&gt;0,B174/F174,""),"")</f>
        <v/>
      </c>
      <c r="H174" s="33" t="n"/>
      <c r="I174" s="35" t="n"/>
      <c r="J174" s="34">
        <f>IF(TRIM(A174)="",IF(COUNTA(B174:E174,H174:I174)&gt;0,"食材名がありません",""),IF(COUNTIF($A$5:$A$204,A174)&gt;1,"同じ食材名があります",IF(NOT(ISNUMBER(B174)),"仕入価格がありません",IF(NOT(ISNUMBER(C174)),"仕入量がありません",IF(C174&lt;=0,"仕入量がありません",IF(AND(ISNUMBER(E174),OR(E174&lt;=0,E174&gt;1)),"歩留まりは1〜100%で入れます",IF(TRIM(D174)="","単位がありません（g・ml・個など）","")))))))</f>
        <v/>
      </c>
    </row>
    <row r="175" ht="16" customHeight="1">
      <c r="A175" s="38" t="n"/>
      <c r="B175" s="40" t="n"/>
      <c r="C175" s="39" t="n"/>
      <c r="D175" s="36" t="n"/>
      <c r="E175" s="74" t="n"/>
      <c r="F175" s="70">
        <f>IF(AND(ISNUMBER(C175),C175&gt;0),C175*IF(ISNUMBER(E175),E175,1),"")</f>
        <v/>
      </c>
      <c r="G175" s="75">
        <f>IF(AND(ISNUMBER(B175),ISNUMBER(F175)),IF(F175&gt;0,B175/F175,""),"")</f>
        <v/>
      </c>
      <c r="H175" s="33" t="n"/>
      <c r="I175" s="35" t="n"/>
      <c r="J175" s="34">
        <f>IF(TRIM(A175)="",IF(COUNTA(B175:E175,H175:I175)&gt;0,"食材名がありません",""),IF(COUNTIF($A$5:$A$204,A175)&gt;1,"同じ食材名があります",IF(NOT(ISNUMBER(B175)),"仕入価格がありません",IF(NOT(ISNUMBER(C175)),"仕入量がありません",IF(C175&lt;=0,"仕入量がありません",IF(AND(ISNUMBER(E175),OR(E175&lt;=0,E175&gt;1)),"歩留まりは1〜100%で入れます",IF(TRIM(D175)="","単位がありません（g・ml・個など）","")))))))</f>
        <v/>
      </c>
    </row>
    <row r="176" ht="16" customHeight="1">
      <c r="A176" s="38" t="n"/>
      <c r="B176" s="40" t="n"/>
      <c r="C176" s="39" t="n"/>
      <c r="D176" s="36" t="n"/>
      <c r="E176" s="74" t="n"/>
      <c r="F176" s="70">
        <f>IF(AND(ISNUMBER(C176),C176&gt;0),C176*IF(ISNUMBER(E176),E176,1),"")</f>
        <v/>
      </c>
      <c r="G176" s="75">
        <f>IF(AND(ISNUMBER(B176),ISNUMBER(F176)),IF(F176&gt;0,B176/F176,""),"")</f>
        <v/>
      </c>
      <c r="H176" s="33" t="n"/>
      <c r="I176" s="35" t="n"/>
      <c r="J176" s="34">
        <f>IF(TRIM(A176)="",IF(COUNTA(B176:E176,H176:I176)&gt;0,"食材名がありません",""),IF(COUNTIF($A$5:$A$204,A176)&gt;1,"同じ食材名があります",IF(NOT(ISNUMBER(B176)),"仕入価格がありません",IF(NOT(ISNUMBER(C176)),"仕入量がありません",IF(C176&lt;=0,"仕入量がありません",IF(AND(ISNUMBER(E176),OR(E176&lt;=0,E176&gt;1)),"歩留まりは1〜100%で入れます",IF(TRIM(D176)="","単位がありません（g・ml・個など）","")))))))</f>
        <v/>
      </c>
    </row>
    <row r="177" ht="16" customHeight="1">
      <c r="A177" s="38" t="n"/>
      <c r="B177" s="40" t="n"/>
      <c r="C177" s="39" t="n"/>
      <c r="D177" s="36" t="n"/>
      <c r="E177" s="74" t="n"/>
      <c r="F177" s="70">
        <f>IF(AND(ISNUMBER(C177),C177&gt;0),C177*IF(ISNUMBER(E177),E177,1),"")</f>
        <v/>
      </c>
      <c r="G177" s="75">
        <f>IF(AND(ISNUMBER(B177),ISNUMBER(F177)),IF(F177&gt;0,B177/F177,""),"")</f>
        <v/>
      </c>
      <c r="H177" s="33" t="n"/>
      <c r="I177" s="35" t="n"/>
      <c r="J177" s="34">
        <f>IF(TRIM(A177)="",IF(COUNTA(B177:E177,H177:I177)&gt;0,"食材名がありません",""),IF(COUNTIF($A$5:$A$204,A177)&gt;1,"同じ食材名があります",IF(NOT(ISNUMBER(B177)),"仕入価格がありません",IF(NOT(ISNUMBER(C177)),"仕入量がありません",IF(C177&lt;=0,"仕入量がありません",IF(AND(ISNUMBER(E177),OR(E177&lt;=0,E177&gt;1)),"歩留まりは1〜100%で入れます",IF(TRIM(D177)="","単位がありません（g・ml・個など）","")))))))</f>
        <v/>
      </c>
    </row>
    <row r="178" ht="16" customHeight="1">
      <c r="A178" s="38" t="n"/>
      <c r="B178" s="40" t="n"/>
      <c r="C178" s="39" t="n"/>
      <c r="D178" s="36" t="n"/>
      <c r="E178" s="74" t="n"/>
      <c r="F178" s="70">
        <f>IF(AND(ISNUMBER(C178),C178&gt;0),C178*IF(ISNUMBER(E178),E178,1),"")</f>
        <v/>
      </c>
      <c r="G178" s="75">
        <f>IF(AND(ISNUMBER(B178),ISNUMBER(F178)),IF(F178&gt;0,B178/F178,""),"")</f>
        <v/>
      </c>
      <c r="H178" s="33" t="n"/>
      <c r="I178" s="35" t="n"/>
      <c r="J178" s="34">
        <f>IF(TRIM(A178)="",IF(COUNTA(B178:E178,H178:I178)&gt;0,"食材名がありません",""),IF(COUNTIF($A$5:$A$204,A178)&gt;1,"同じ食材名があります",IF(NOT(ISNUMBER(B178)),"仕入価格がありません",IF(NOT(ISNUMBER(C178)),"仕入量がありません",IF(C178&lt;=0,"仕入量がありません",IF(AND(ISNUMBER(E178),OR(E178&lt;=0,E178&gt;1)),"歩留まりは1〜100%で入れます",IF(TRIM(D178)="","単位がありません（g・ml・個など）","")))))))</f>
        <v/>
      </c>
    </row>
    <row r="179" ht="16" customHeight="1">
      <c r="A179" s="38" t="n"/>
      <c r="B179" s="40" t="n"/>
      <c r="C179" s="39" t="n"/>
      <c r="D179" s="36" t="n"/>
      <c r="E179" s="74" t="n"/>
      <c r="F179" s="70">
        <f>IF(AND(ISNUMBER(C179),C179&gt;0),C179*IF(ISNUMBER(E179),E179,1),"")</f>
        <v/>
      </c>
      <c r="G179" s="75">
        <f>IF(AND(ISNUMBER(B179),ISNUMBER(F179)),IF(F179&gt;0,B179/F179,""),"")</f>
        <v/>
      </c>
      <c r="H179" s="33" t="n"/>
      <c r="I179" s="35" t="n"/>
      <c r="J179" s="34">
        <f>IF(TRIM(A179)="",IF(COUNTA(B179:E179,H179:I179)&gt;0,"食材名がありません",""),IF(COUNTIF($A$5:$A$204,A179)&gt;1,"同じ食材名があります",IF(NOT(ISNUMBER(B179)),"仕入価格がありません",IF(NOT(ISNUMBER(C179)),"仕入量がありません",IF(C179&lt;=0,"仕入量がありません",IF(AND(ISNUMBER(E179),OR(E179&lt;=0,E179&gt;1)),"歩留まりは1〜100%で入れます",IF(TRIM(D179)="","単位がありません（g・ml・個など）","")))))))</f>
        <v/>
      </c>
    </row>
    <row r="180" ht="16" customHeight="1">
      <c r="A180" s="38" t="n"/>
      <c r="B180" s="40" t="n"/>
      <c r="C180" s="39" t="n"/>
      <c r="D180" s="36" t="n"/>
      <c r="E180" s="74" t="n"/>
      <c r="F180" s="70">
        <f>IF(AND(ISNUMBER(C180),C180&gt;0),C180*IF(ISNUMBER(E180),E180,1),"")</f>
        <v/>
      </c>
      <c r="G180" s="75">
        <f>IF(AND(ISNUMBER(B180),ISNUMBER(F180)),IF(F180&gt;0,B180/F180,""),"")</f>
        <v/>
      </c>
      <c r="H180" s="33" t="n"/>
      <c r="I180" s="35" t="n"/>
      <c r="J180" s="34">
        <f>IF(TRIM(A180)="",IF(COUNTA(B180:E180,H180:I180)&gt;0,"食材名がありません",""),IF(COUNTIF($A$5:$A$204,A180)&gt;1,"同じ食材名があります",IF(NOT(ISNUMBER(B180)),"仕入価格がありません",IF(NOT(ISNUMBER(C180)),"仕入量がありません",IF(C180&lt;=0,"仕入量がありません",IF(AND(ISNUMBER(E180),OR(E180&lt;=0,E180&gt;1)),"歩留まりは1〜100%で入れます",IF(TRIM(D180)="","単位がありません（g・ml・個など）","")))))))</f>
        <v/>
      </c>
    </row>
    <row r="181" ht="16" customHeight="1">
      <c r="A181" s="38" t="n"/>
      <c r="B181" s="40" t="n"/>
      <c r="C181" s="39" t="n"/>
      <c r="D181" s="36" t="n"/>
      <c r="E181" s="74" t="n"/>
      <c r="F181" s="70">
        <f>IF(AND(ISNUMBER(C181),C181&gt;0),C181*IF(ISNUMBER(E181),E181,1),"")</f>
        <v/>
      </c>
      <c r="G181" s="75">
        <f>IF(AND(ISNUMBER(B181),ISNUMBER(F181)),IF(F181&gt;0,B181/F181,""),"")</f>
        <v/>
      </c>
      <c r="H181" s="33" t="n"/>
      <c r="I181" s="35" t="n"/>
      <c r="J181" s="34">
        <f>IF(TRIM(A181)="",IF(COUNTA(B181:E181,H181:I181)&gt;0,"食材名がありません",""),IF(COUNTIF($A$5:$A$204,A181)&gt;1,"同じ食材名があります",IF(NOT(ISNUMBER(B181)),"仕入価格がありません",IF(NOT(ISNUMBER(C181)),"仕入量がありません",IF(C181&lt;=0,"仕入量がありません",IF(AND(ISNUMBER(E181),OR(E181&lt;=0,E181&gt;1)),"歩留まりは1〜100%で入れます",IF(TRIM(D181)="","単位がありません（g・ml・個など）","")))))))</f>
        <v/>
      </c>
    </row>
    <row r="182" ht="16" customHeight="1">
      <c r="A182" s="38" t="n"/>
      <c r="B182" s="40" t="n"/>
      <c r="C182" s="39" t="n"/>
      <c r="D182" s="36" t="n"/>
      <c r="E182" s="74" t="n"/>
      <c r="F182" s="70">
        <f>IF(AND(ISNUMBER(C182),C182&gt;0),C182*IF(ISNUMBER(E182),E182,1),"")</f>
        <v/>
      </c>
      <c r="G182" s="75">
        <f>IF(AND(ISNUMBER(B182),ISNUMBER(F182)),IF(F182&gt;0,B182/F182,""),"")</f>
        <v/>
      </c>
      <c r="H182" s="33" t="n"/>
      <c r="I182" s="35" t="n"/>
      <c r="J182" s="34">
        <f>IF(TRIM(A182)="",IF(COUNTA(B182:E182,H182:I182)&gt;0,"食材名がありません",""),IF(COUNTIF($A$5:$A$204,A182)&gt;1,"同じ食材名があります",IF(NOT(ISNUMBER(B182)),"仕入価格がありません",IF(NOT(ISNUMBER(C182)),"仕入量がありません",IF(C182&lt;=0,"仕入量がありません",IF(AND(ISNUMBER(E182),OR(E182&lt;=0,E182&gt;1)),"歩留まりは1〜100%で入れます",IF(TRIM(D182)="","単位がありません（g・ml・個など）","")))))))</f>
        <v/>
      </c>
    </row>
    <row r="183" ht="16" customHeight="1">
      <c r="A183" s="38" t="n"/>
      <c r="B183" s="40" t="n"/>
      <c r="C183" s="39" t="n"/>
      <c r="D183" s="36" t="n"/>
      <c r="E183" s="74" t="n"/>
      <c r="F183" s="70">
        <f>IF(AND(ISNUMBER(C183),C183&gt;0),C183*IF(ISNUMBER(E183),E183,1),"")</f>
        <v/>
      </c>
      <c r="G183" s="75">
        <f>IF(AND(ISNUMBER(B183),ISNUMBER(F183)),IF(F183&gt;0,B183/F183,""),"")</f>
        <v/>
      </c>
      <c r="H183" s="33" t="n"/>
      <c r="I183" s="35" t="n"/>
      <c r="J183" s="34">
        <f>IF(TRIM(A183)="",IF(COUNTA(B183:E183,H183:I183)&gt;0,"食材名がありません",""),IF(COUNTIF($A$5:$A$204,A183)&gt;1,"同じ食材名があります",IF(NOT(ISNUMBER(B183)),"仕入価格がありません",IF(NOT(ISNUMBER(C183)),"仕入量がありません",IF(C183&lt;=0,"仕入量がありません",IF(AND(ISNUMBER(E183),OR(E183&lt;=0,E183&gt;1)),"歩留まりは1〜100%で入れます",IF(TRIM(D183)="","単位がありません（g・ml・個など）","")))))))</f>
        <v/>
      </c>
    </row>
    <row r="184" ht="16" customHeight="1">
      <c r="A184" s="38" t="n"/>
      <c r="B184" s="40" t="n"/>
      <c r="C184" s="39" t="n"/>
      <c r="D184" s="36" t="n"/>
      <c r="E184" s="74" t="n"/>
      <c r="F184" s="70">
        <f>IF(AND(ISNUMBER(C184),C184&gt;0),C184*IF(ISNUMBER(E184),E184,1),"")</f>
        <v/>
      </c>
      <c r="G184" s="75">
        <f>IF(AND(ISNUMBER(B184),ISNUMBER(F184)),IF(F184&gt;0,B184/F184,""),"")</f>
        <v/>
      </c>
      <c r="H184" s="33" t="n"/>
      <c r="I184" s="35" t="n"/>
      <c r="J184" s="34">
        <f>IF(TRIM(A184)="",IF(COUNTA(B184:E184,H184:I184)&gt;0,"食材名がありません",""),IF(COUNTIF($A$5:$A$204,A184)&gt;1,"同じ食材名があります",IF(NOT(ISNUMBER(B184)),"仕入価格がありません",IF(NOT(ISNUMBER(C184)),"仕入量がありません",IF(C184&lt;=0,"仕入量がありません",IF(AND(ISNUMBER(E184),OR(E184&lt;=0,E184&gt;1)),"歩留まりは1〜100%で入れます",IF(TRIM(D184)="","単位がありません（g・ml・個など）","")))))))</f>
        <v/>
      </c>
    </row>
    <row r="185" ht="16" customHeight="1">
      <c r="A185" s="38" t="n"/>
      <c r="B185" s="40" t="n"/>
      <c r="C185" s="39" t="n"/>
      <c r="D185" s="36" t="n"/>
      <c r="E185" s="74" t="n"/>
      <c r="F185" s="70">
        <f>IF(AND(ISNUMBER(C185),C185&gt;0),C185*IF(ISNUMBER(E185),E185,1),"")</f>
        <v/>
      </c>
      <c r="G185" s="75">
        <f>IF(AND(ISNUMBER(B185),ISNUMBER(F185)),IF(F185&gt;0,B185/F185,""),"")</f>
        <v/>
      </c>
      <c r="H185" s="33" t="n"/>
      <c r="I185" s="35" t="n"/>
      <c r="J185" s="34">
        <f>IF(TRIM(A185)="",IF(COUNTA(B185:E185,H185:I185)&gt;0,"食材名がありません",""),IF(COUNTIF($A$5:$A$204,A185)&gt;1,"同じ食材名があります",IF(NOT(ISNUMBER(B185)),"仕入価格がありません",IF(NOT(ISNUMBER(C185)),"仕入量がありません",IF(C185&lt;=0,"仕入量がありません",IF(AND(ISNUMBER(E185),OR(E185&lt;=0,E185&gt;1)),"歩留まりは1〜100%で入れます",IF(TRIM(D185)="","単位がありません（g・ml・個など）","")))))))</f>
        <v/>
      </c>
    </row>
    <row r="186" ht="16" customHeight="1">
      <c r="A186" s="38" t="n"/>
      <c r="B186" s="40" t="n"/>
      <c r="C186" s="39" t="n"/>
      <c r="D186" s="36" t="n"/>
      <c r="E186" s="74" t="n"/>
      <c r="F186" s="70">
        <f>IF(AND(ISNUMBER(C186),C186&gt;0),C186*IF(ISNUMBER(E186),E186,1),"")</f>
        <v/>
      </c>
      <c r="G186" s="75">
        <f>IF(AND(ISNUMBER(B186),ISNUMBER(F186)),IF(F186&gt;0,B186/F186,""),"")</f>
        <v/>
      </c>
      <c r="H186" s="33" t="n"/>
      <c r="I186" s="35" t="n"/>
      <c r="J186" s="34">
        <f>IF(TRIM(A186)="",IF(COUNTA(B186:E186,H186:I186)&gt;0,"食材名がありません",""),IF(COUNTIF($A$5:$A$204,A186)&gt;1,"同じ食材名があります",IF(NOT(ISNUMBER(B186)),"仕入価格がありません",IF(NOT(ISNUMBER(C186)),"仕入量がありません",IF(C186&lt;=0,"仕入量がありません",IF(AND(ISNUMBER(E186),OR(E186&lt;=0,E186&gt;1)),"歩留まりは1〜100%で入れます",IF(TRIM(D186)="","単位がありません（g・ml・個など）","")))))))</f>
        <v/>
      </c>
    </row>
    <row r="187" ht="16" customHeight="1">
      <c r="A187" s="38" t="n"/>
      <c r="B187" s="40" t="n"/>
      <c r="C187" s="39" t="n"/>
      <c r="D187" s="36" t="n"/>
      <c r="E187" s="74" t="n"/>
      <c r="F187" s="70">
        <f>IF(AND(ISNUMBER(C187),C187&gt;0),C187*IF(ISNUMBER(E187),E187,1),"")</f>
        <v/>
      </c>
      <c r="G187" s="75">
        <f>IF(AND(ISNUMBER(B187),ISNUMBER(F187)),IF(F187&gt;0,B187/F187,""),"")</f>
        <v/>
      </c>
      <c r="H187" s="33" t="n"/>
      <c r="I187" s="35" t="n"/>
      <c r="J187" s="34">
        <f>IF(TRIM(A187)="",IF(COUNTA(B187:E187,H187:I187)&gt;0,"食材名がありません",""),IF(COUNTIF($A$5:$A$204,A187)&gt;1,"同じ食材名があります",IF(NOT(ISNUMBER(B187)),"仕入価格がありません",IF(NOT(ISNUMBER(C187)),"仕入量がありません",IF(C187&lt;=0,"仕入量がありません",IF(AND(ISNUMBER(E187),OR(E187&lt;=0,E187&gt;1)),"歩留まりは1〜100%で入れます",IF(TRIM(D187)="","単位がありません（g・ml・個など）","")))))))</f>
        <v/>
      </c>
    </row>
    <row r="188" ht="16" customHeight="1">
      <c r="A188" s="38" t="n"/>
      <c r="B188" s="40" t="n"/>
      <c r="C188" s="39" t="n"/>
      <c r="D188" s="36" t="n"/>
      <c r="E188" s="74" t="n"/>
      <c r="F188" s="70">
        <f>IF(AND(ISNUMBER(C188),C188&gt;0),C188*IF(ISNUMBER(E188),E188,1),"")</f>
        <v/>
      </c>
      <c r="G188" s="75">
        <f>IF(AND(ISNUMBER(B188),ISNUMBER(F188)),IF(F188&gt;0,B188/F188,""),"")</f>
        <v/>
      </c>
      <c r="H188" s="33" t="n"/>
      <c r="I188" s="35" t="n"/>
      <c r="J188" s="34">
        <f>IF(TRIM(A188)="",IF(COUNTA(B188:E188,H188:I188)&gt;0,"食材名がありません",""),IF(COUNTIF($A$5:$A$204,A188)&gt;1,"同じ食材名があります",IF(NOT(ISNUMBER(B188)),"仕入価格がありません",IF(NOT(ISNUMBER(C188)),"仕入量がありません",IF(C188&lt;=0,"仕入量がありません",IF(AND(ISNUMBER(E188),OR(E188&lt;=0,E188&gt;1)),"歩留まりは1〜100%で入れます",IF(TRIM(D188)="","単位がありません（g・ml・個など）","")))))))</f>
        <v/>
      </c>
    </row>
    <row r="189" ht="16" customHeight="1">
      <c r="A189" s="38" t="n"/>
      <c r="B189" s="40" t="n"/>
      <c r="C189" s="39" t="n"/>
      <c r="D189" s="36" t="n"/>
      <c r="E189" s="74" t="n"/>
      <c r="F189" s="70">
        <f>IF(AND(ISNUMBER(C189),C189&gt;0),C189*IF(ISNUMBER(E189),E189,1),"")</f>
        <v/>
      </c>
      <c r="G189" s="75">
        <f>IF(AND(ISNUMBER(B189),ISNUMBER(F189)),IF(F189&gt;0,B189/F189,""),"")</f>
        <v/>
      </c>
      <c r="H189" s="33" t="n"/>
      <c r="I189" s="35" t="n"/>
      <c r="J189" s="34">
        <f>IF(TRIM(A189)="",IF(COUNTA(B189:E189,H189:I189)&gt;0,"食材名がありません",""),IF(COUNTIF($A$5:$A$204,A189)&gt;1,"同じ食材名があります",IF(NOT(ISNUMBER(B189)),"仕入価格がありません",IF(NOT(ISNUMBER(C189)),"仕入量がありません",IF(C189&lt;=0,"仕入量がありません",IF(AND(ISNUMBER(E189),OR(E189&lt;=0,E189&gt;1)),"歩留まりは1〜100%で入れます",IF(TRIM(D189)="","単位がありません（g・ml・個など）","")))))))</f>
        <v/>
      </c>
    </row>
    <row r="190" ht="16" customHeight="1">
      <c r="A190" s="38" t="n"/>
      <c r="B190" s="40" t="n"/>
      <c r="C190" s="39" t="n"/>
      <c r="D190" s="36" t="n"/>
      <c r="E190" s="74" t="n"/>
      <c r="F190" s="70">
        <f>IF(AND(ISNUMBER(C190),C190&gt;0),C190*IF(ISNUMBER(E190),E190,1),"")</f>
        <v/>
      </c>
      <c r="G190" s="75">
        <f>IF(AND(ISNUMBER(B190),ISNUMBER(F190)),IF(F190&gt;0,B190/F190,""),"")</f>
        <v/>
      </c>
      <c r="H190" s="33" t="n"/>
      <c r="I190" s="35" t="n"/>
      <c r="J190" s="34">
        <f>IF(TRIM(A190)="",IF(COUNTA(B190:E190,H190:I190)&gt;0,"食材名がありません",""),IF(COUNTIF($A$5:$A$204,A190)&gt;1,"同じ食材名があります",IF(NOT(ISNUMBER(B190)),"仕入価格がありません",IF(NOT(ISNUMBER(C190)),"仕入量がありません",IF(C190&lt;=0,"仕入量がありません",IF(AND(ISNUMBER(E190),OR(E190&lt;=0,E190&gt;1)),"歩留まりは1〜100%で入れます",IF(TRIM(D190)="","単位がありません（g・ml・個など）","")))))))</f>
        <v/>
      </c>
    </row>
    <row r="191" ht="16" customHeight="1">
      <c r="A191" s="38" t="n"/>
      <c r="B191" s="40" t="n"/>
      <c r="C191" s="39" t="n"/>
      <c r="D191" s="36" t="n"/>
      <c r="E191" s="74" t="n"/>
      <c r="F191" s="70">
        <f>IF(AND(ISNUMBER(C191),C191&gt;0),C191*IF(ISNUMBER(E191),E191,1),"")</f>
        <v/>
      </c>
      <c r="G191" s="75">
        <f>IF(AND(ISNUMBER(B191),ISNUMBER(F191)),IF(F191&gt;0,B191/F191,""),"")</f>
        <v/>
      </c>
      <c r="H191" s="33" t="n"/>
      <c r="I191" s="35" t="n"/>
      <c r="J191" s="34">
        <f>IF(TRIM(A191)="",IF(COUNTA(B191:E191,H191:I191)&gt;0,"食材名がありません",""),IF(COUNTIF($A$5:$A$204,A191)&gt;1,"同じ食材名があります",IF(NOT(ISNUMBER(B191)),"仕入価格がありません",IF(NOT(ISNUMBER(C191)),"仕入量がありません",IF(C191&lt;=0,"仕入量がありません",IF(AND(ISNUMBER(E191),OR(E191&lt;=0,E191&gt;1)),"歩留まりは1〜100%で入れます",IF(TRIM(D191)="","単位がありません（g・ml・個など）","")))))))</f>
        <v/>
      </c>
    </row>
    <row r="192" ht="16" customHeight="1">
      <c r="A192" s="38" t="n"/>
      <c r="B192" s="40" t="n"/>
      <c r="C192" s="39" t="n"/>
      <c r="D192" s="36" t="n"/>
      <c r="E192" s="74" t="n"/>
      <c r="F192" s="70">
        <f>IF(AND(ISNUMBER(C192),C192&gt;0),C192*IF(ISNUMBER(E192),E192,1),"")</f>
        <v/>
      </c>
      <c r="G192" s="75">
        <f>IF(AND(ISNUMBER(B192),ISNUMBER(F192)),IF(F192&gt;0,B192/F192,""),"")</f>
        <v/>
      </c>
      <c r="H192" s="33" t="n"/>
      <c r="I192" s="35" t="n"/>
      <c r="J192" s="34">
        <f>IF(TRIM(A192)="",IF(COUNTA(B192:E192,H192:I192)&gt;0,"食材名がありません",""),IF(COUNTIF($A$5:$A$204,A192)&gt;1,"同じ食材名があります",IF(NOT(ISNUMBER(B192)),"仕入価格がありません",IF(NOT(ISNUMBER(C192)),"仕入量がありません",IF(C192&lt;=0,"仕入量がありません",IF(AND(ISNUMBER(E192),OR(E192&lt;=0,E192&gt;1)),"歩留まりは1〜100%で入れます",IF(TRIM(D192)="","単位がありません（g・ml・個など）","")))))))</f>
        <v/>
      </c>
    </row>
    <row r="193" ht="16" customHeight="1">
      <c r="A193" s="38" t="n"/>
      <c r="B193" s="40" t="n"/>
      <c r="C193" s="39" t="n"/>
      <c r="D193" s="36" t="n"/>
      <c r="E193" s="74" t="n"/>
      <c r="F193" s="70">
        <f>IF(AND(ISNUMBER(C193),C193&gt;0),C193*IF(ISNUMBER(E193),E193,1),"")</f>
        <v/>
      </c>
      <c r="G193" s="75">
        <f>IF(AND(ISNUMBER(B193),ISNUMBER(F193)),IF(F193&gt;0,B193/F193,""),"")</f>
        <v/>
      </c>
      <c r="H193" s="33" t="n"/>
      <c r="I193" s="35" t="n"/>
      <c r="J193" s="34">
        <f>IF(TRIM(A193)="",IF(COUNTA(B193:E193,H193:I193)&gt;0,"食材名がありません",""),IF(COUNTIF($A$5:$A$204,A193)&gt;1,"同じ食材名があります",IF(NOT(ISNUMBER(B193)),"仕入価格がありません",IF(NOT(ISNUMBER(C193)),"仕入量がありません",IF(C193&lt;=0,"仕入量がありません",IF(AND(ISNUMBER(E193),OR(E193&lt;=0,E193&gt;1)),"歩留まりは1〜100%で入れます",IF(TRIM(D193)="","単位がありません（g・ml・個など）","")))))))</f>
        <v/>
      </c>
    </row>
    <row r="194" ht="16" customHeight="1">
      <c r="A194" s="38" t="n"/>
      <c r="B194" s="40" t="n"/>
      <c r="C194" s="39" t="n"/>
      <c r="D194" s="36" t="n"/>
      <c r="E194" s="74" t="n"/>
      <c r="F194" s="70">
        <f>IF(AND(ISNUMBER(C194),C194&gt;0),C194*IF(ISNUMBER(E194),E194,1),"")</f>
        <v/>
      </c>
      <c r="G194" s="75">
        <f>IF(AND(ISNUMBER(B194),ISNUMBER(F194)),IF(F194&gt;0,B194/F194,""),"")</f>
        <v/>
      </c>
      <c r="H194" s="33" t="n"/>
      <c r="I194" s="35" t="n"/>
      <c r="J194" s="34">
        <f>IF(TRIM(A194)="",IF(COUNTA(B194:E194,H194:I194)&gt;0,"食材名がありません",""),IF(COUNTIF($A$5:$A$204,A194)&gt;1,"同じ食材名があります",IF(NOT(ISNUMBER(B194)),"仕入価格がありません",IF(NOT(ISNUMBER(C194)),"仕入量がありません",IF(C194&lt;=0,"仕入量がありません",IF(AND(ISNUMBER(E194),OR(E194&lt;=0,E194&gt;1)),"歩留まりは1〜100%で入れます",IF(TRIM(D194)="","単位がありません（g・ml・個など）","")))))))</f>
        <v/>
      </c>
    </row>
    <row r="195" ht="16" customHeight="1">
      <c r="A195" s="38" t="n"/>
      <c r="B195" s="40" t="n"/>
      <c r="C195" s="39" t="n"/>
      <c r="D195" s="36" t="n"/>
      <c r="E195" s="74" t="n"/>
      <c r="F195" s="70">
        <f>IF(AND(ISNUMBER(C195),C195&gt;0),C195*IF(ISNUMBER(E195),E195,1),"")</f>
        <v/>
      </c>
      <c r="G195" s="75">
        <f>IF(AND(ISNUMBER(B195),ISNUMBER(F195)),IF(F195&gt;0,B195/F195,""),"")</f>
        <v/>
      </c>
      <c r="H195" s="33" t="n"/>
      <c r="I195" s="35" t="n"/>
      <c r="J195" s="34">
        <f>IF(TRIM(A195)="",IF(COUNTA(B195:E195,H195:I195)&gt;0,"食材名がありません",""),IF(COUNTIF($A$5:$A$204,A195)&gt;1,"同じ食材名があります",IF(NOT(ISNUMBER(B195)),"仕入価格がありません",IF(NOT(ISNUMBER(C195)),"仕入量がありません",IF(C195&lt;=0,"仕入量がありません",IF(AND(ISNUMBER(E195),OR(E195&lt;=0,E195&gt;1)),"歩留まりは1〜100%で入れます",IF(TRIM(D195)="","単位がありません（g・ml・個など）","")))))))</f>
        <v/>
      </c>
    </row>
    <row r="196" ht="16" customHeight="1">
      <c r="A196" s="38" t="n"/>
      <c r="B196" s="40" t="n"/>
      <c r="C196" s="39" t="n"/>
      <c r="D196" s="36" t="n"/>
      <c r="E196" s="74" t="n"/>
      <c r="F196" s="70">
        <f>IF(AND(ISNUMBER(C196),C196&gt;0),C196*IF(ISNUMBER(E196),E196,1),"")</f>
        <v/>
      </c>
      <c r="G196" s="75">
        <f>IF(AND(ISNUMBER(B196),ISNUMBER(F196)),IF(F196&gt;0,B196/F196,""),"")</f>
        <v/>
      </c>
      <c r="H196" s="33" t="n"/>
      <c r="I196" s="35" t="n"/>
      <c r="J196" s="34">
        <f>IF(TRIM(A196)="",IF(COUNTA(B196:E196,H196:I196)&gt;0,"食材名がありません",""),IF(COUNTIF($A$5:$A$204,A196)&gt;1,"同じ食材名があります",IF(NOT(ISNUMBER(B196)),"仕入価格がありません",IF(NOT(ISNUMBER(C196)),"仕入量がありません",IF(C196&lt;=0,"仕入量がありません",IF(AND(ISNUMBER(E196),OR(E196&lt;=0,E196&gt;1)),"歩留まりは1〜100%で入れます",IF(TRIM(D196)="","単位がありません（g・ml・個など）","")))))))</f>
        <v/>
      </c>
    </row>
    <row r="197" ht="16" customHeight="1">
      <c r="A197" s="38" t="n"/>
      <c r="B197" s="40" t="n"/>
      <c r="C197" s="39" t="n"/>
      <c r="D197" s="36" t="n"/>
      <c r="E197" s="74" t="n"/>
      <c r="F197" s="70">
        <f>IF(AND(ISNUMBER(C197),C197&gt;0),C197*IF(ISNUMBER(E197),E197,1),"")</f>
        <v/>
      </c>
      <c r="G197" s="75">
        <f>IF(AND(ISNUMBER(B197),ISNUMBER(F197)),IF(F197&gt;0,B197/F197,""),"")</f>
        <v/>
      </c>
      <c r="H197" s="33" t="n"/>
      <c r="I197" s="35" t="n"/>
      <c r="J197" s="34">
        <f>IF(TRIM(A197)="",IF(COUNTA(B197:E197,H197:I197)&gt;0,"食材名がありません",""),IF(COUNTIF($A$5:$A$204,A197)&gt;1,"同じ食材名があります",IF(NOT(ISNUMBER(B197)),"仕入価格がありません",IF(NOT(ISNUMBER(C197)),"仕入量がありません",IF(C197&lt;=0,"仕入量がありません",IF(AND(ISNUMBER(E197),OR(E197&lt;=0,E197&gt;1)),"歩留まりは1〜100%で入れます",IF(TRIM(D197)="","単位がありません（g・ml・個など）","")))))))</f>
        <v/>
      </c>
    </row>
    <row r="198" ht="16" customHeight="1">
      <c r="A198" s="38" t="n"/>
      <c r="B198" s="40" t="n"/>
      <c r="C198" s="39" t="n"/>
      <c r="D198" s="36" t="n"/>
      <c r="E198" s="74" t="n"/>
      <c r="F198" s="70">
        <f>IF(AND(ISNUMBER(C198),C198&gt;0),C198*IF(ISNUMBER(E198),E198,1),"")</f>
        <v/>
      </c>
      <c r="G198" s="75">
        <f>IF(AND(ISNUMBER(B198),ISNUMBER(F198)),IF(F198&gt;0,B198/F198,""),"")</f>
        <v/>
      </c>
      <c r="H198" s="33" t="n"/>
      <c r="I198" s="35" t="n"/>
      <c r="J198" s="34">
        <f>IF(TRIM(A198)="",IF(COUNTA(B198:E198,H198:I198)&gt;0,"食材名がありません",""),IF(COUNTIF($A$5:$A$204,A198)&gt;1,"同じ食材名があります",IF(NOT(ISNUMBER(B198)),"仕入価格がありません",IF(NOT(ISNUMBER(C198)),"仕入量がありません",IF(C198&lt;=0,"仕入量がありません",IF(AND(ISNUMBER(E198),OR(E198&lt;=0,E198&gt;1)),"歩留まりは1〜100%で入れます",IF(TRIM(D198)="","単位がありません（g・ml・個など）","")))))))</f>
        <v/>
      </c>
    </row>
    <row r="199" ht="16" customHeight="1">
      <c r="A199" s="38" t="n"/>
      <c r="B199" s="40" t="n"/>
      <c r="C199" s="39" t="n"/>
      <c r="D199" s="36" t="n"/>
      <c r="E199" s="74" t="n"/>
      <c r="F199" s="70">
        <f>IF(AND(ISNUMBER(C199),C199&gt;0),C199*IF(ISNUMBER(E199),E199,1),"")</f>
        <v/>
      </c>
      <c r="G199" s="75">
        <f>IF(AND(ISNUMBER(B199),ISNUMBER(F199)),IF(F199&gt;0,B199/F199,""),"")</f>
        <v/>
      </c>
      <c r="H199" s="33" t="n"/>
      <c r="I199" s="35" t="n"/>
      <c r="J199" s="34">
        <f>IF(TRIM(A199)="",IF(COUNTA(B199:E199,H199:I199)&gt;0,"食材名がありません",""),IF(COUNTIF($A$5:$A$204,A199)&gt;1,"同じ食材名があります",IF(NOT(ISNUMBER(B199)),"仕入価格がありません",IF(NOT(ISNUMBER(C199)),"仕入量がありません",IF(C199&lt;=0,"仕入量がありません",IF(AND(ISNUMBER(E199),OR(E199&lt;=0,E199&gt;1)),"歩留まりは1〜100%で入れます",IF(TRIM(D199)="","単位がありません（g・ml・個など）","")))))))</f>
        <v/>
      </c>
    </row>
    <row r="200" ht="16" customHeight="1">
      <c r="A200" s="38" t="n"/>
      <c r="B200" s="40" t="n"/>
      <c r="C200" s="39" t="n"/>
      <c r="D200" s="36" t="n"/>
      <c r="E200" s="74" t="n"/>
      <c r="F200" s="70">
        <f>IF(AND(ISNUMBER(C200),C200&gt;0),C200*IF(ISNUMBER(E200),E200,1),"")</f>
        <v/>
      </c>
      <c r="G200" s="75">
        <f>IF(AND(ISNUMBER(B200),ISNUMBER(F200)),IF(F200&gt;0,B200/F200,""),"")</f>
        <v/>
      </c>
      <c r="H200" s="33" t="n"/>
      <c r="I200" s="35" t="n"/>
      <c r="J200" s="34">
        <f>IF(TRIM(A200)="",IF(COUNTA(B200:E200,H200:I200)&gt;0,"食材名がありません",""),IF(COUNTIF($A$5:$A$204,A200)&gt;1,"同じ食材名があります",IF(NOT(ISNUMBER(B200)),"仕入価格がありません",IF(NOT(ISNUMBER(C200)),"仕入量がありません",IF(C200&lt;=0,"仕入量がありません",IF(AND(ISNUMBER(E200),OR(E200&lt;=0,E200&gt;1)),"歩留まりは1〜100%で入れます",IF(TRIM(D200)="","単位がありません（g・ml・個など）","")))))))</f>
        <v/>
      </c>
    </row>
    <row r="201" ht="16" customHeight="1">
      <c r="A201" s="38" t="n"/>
      <c r="B201" s="40" t="n"/>
      <c r="C201" s="39" t="n"/>
      <c r="D201" s="36" t="n"/>
      <c r="E201" s="74" t="n"/>
      <c r="F201" s="70">
        <f>IF(AND(ISNUMBER(C201),C201&gt;0),C201*IF(ISNUMBER(E201),E201,1),"")</f>
        <v/>
      </c>
      <c r="G201" s="75">
        <f>IF(AND(ISNUMBER(B201),ISNUMBER(F201)),IF(F201&gt;0,B201/F201,""),"")</f>
        <v/>
      </c>
      <c r="H201" s="33" t="n"/>
      <c r="I201" s="35" t="n"/>
      <c r="J201" s="34">
        <f>IF(TRIM(A201)="",IF(COUNTA(B201:E201,H201:I201)&gt;0,"食材名がありません",""),IF(COUNTIF($A$5:$A$204,A201)&gt;1,"同じ食材名があります",IF(NOT(ISNUMBER(B201)),"仕入価格がありません",IF(NOT(ISNUMBER(C201)),"仕入量がありません",IF(C201&lt;=0,"仕入量がありません",IF(AND(ISNUMBER(E201),OR(E201&lt;=0,E201&gt;1)),"歩留まりは1〜100%で入れます",IF(TRIM(D201)="","単位がありません（g・ml・個など）","")))))))</f>
        <v/>
      </c>
    </row>
    <row r="202" ht="16" customHeight="1">
      <c r="A202" s="38" t="n"/>
      <c r="B202" s="40" t="n"/>
      <c r="C202" s="39" t="n"/>
      <c r="D202" s="36" t="n"/>
      <c r="E202" s="74" t="n"/>
      <c r="F202" s="70">
        <f>IF(AND(ISNUMBER(C202),C202&gt;0),C202*IF(ISNUMBER(E202),E202,1),"")</f>
        <v/>
      </c>
      <c r="G202" s="75">
        <f>IF(AND(ISNUMBER(B202),ISNUMBER(F202)),IF(F202&gt;0,B202/F202,""),"")</f>
        <v/>
      </c>
      <c r="H202" s="33" t="n"/>
      <c r="I202" s="35" t="n"/>
      <c r="J202" s="34">
        <f>IF(TRIM(A202)="",IF(COUNTA(B202:E202,H202:I202)&gt;0,"食材名がありません",""),IF(COUNTIF($A$5:$A$204,A202)&gt;1,"同じ食材名があります",IF(NOT(ISNUMBER(B202)),"仕入価格がありません",IF(NOT(ISNUMBER(C202)),"仕入量がありません",IF(C202&lt;=0,"仕入量がありません",IF(AND(ISNUMBER(E202),OR(E202&lt;=0,E202&gt;1)),"歩留まりは1〜100%で入れます",IF(TRIM(D202)="","単位がありません（g・ml・個など）","")))))))</f>
        <v/>
      </c>
    </row>
    <row r="203" ht="16" customHeight="1">
      <c r="A203" s="38" t="n"/>
      <c r="B203" s="40" t="n"/>
      <c r="C203" s="39" t="n"/>
      <c r="D203" s="36" t="n"/>
      <c r="E203" s="74" t="n"/>
      <c r="F203" s="70">
        <f>IF(AND(ISNUMBER(C203),C203&gt;0),C203*IF(ISNUMBER(E203),E203,1),"")</f>
        <v/>
      </c>
      <c r="G203" s="75">
        <f>IF(AND(ISNUMBER(B203),ISNUMBER(F203)),IF(F203&gt;0,B203/F203,""),"")</f>
        <v/>
      </c>
      <c r="H203" s="33" t="n"/>
      <c r="I203" s="35" t="n"/>
      <c r="J203" s="34">
        <f>IF(TRIM(A203)="",IF(COUNTA(B203:E203,H203:I203)&gt;0,"食材名がありません",""),IF(COUNTIF($A$5:$A$204,A203)&gt;1,"同じ食材名があります",IF(NOT(ISNUMBER(B203)),"仕入価格がありません",IF(NOT(ISNUMBER(C203)),"仕入量がありません",IF(C203&lt;=0,"仕入量がありません",IF(AND(ISNUMBER(E203),OR(E203&lt;=0,E203&gt;1)),"歩留まりは1〜100%で入れます",IF(TRIM(D203)="","単位がありません（g・ml・個など）","")))))))</f>
        <v/>
      </c>
    </row>
    <row r="204" ht="16" customHeight="1">
      <c r="A204" s="38" t="n"/>
      <c r="B204" s="40" t="n"/>
      <c r="C204" s="39" t="n"/>
      <c r="D204" s="36" t="n"/>
      <c r="E204" s="74" t="n"/>
      <c r="F204" s="70">
        <f>IF(AND(ISNUMBER(C204),C204&gt;0),C204*IF(ISNUMBER(E204),E204,1),"")</f>
        <v/>
      </c>
      <c r="G204" s="75">
        <f>IF(AND(ISNUMBER(B204),ISNUMBER(F204)),IF(F204&gt;0,B204/F204,""),"")</f>
        <v/>
      </c>
      <c r="H204" s="33" t="n"/>
      <c r="I204" s="35" t="n"/>
      <c r="J204" s="34">
        <f>IF(TRIM(A204)="",IF(COUNTA(B204:E204,H204:I204)&gt;0,"食材名がありません",""),IF(COUNTIF($A$5:$A$204,A204)&gt;1,"同じ食材名があります",IF(NOT(ISNUMBER(B204)),"仕入価格がありません",IF(NOT(ISNUMBER(C204)),"仕入量がありません",IF(C204&lt;=0,"仕入量がありません",IF(AND(ISNUMBER(E204),OR(E204&lt;=0,E204&gt;1)),"歩留まりは1〜100%で入れます",IF(TRIM(D204)="","単位がありません（g・ml・個など）","")))))))</f>
        <v/>
      </c>
    </row>
  </sheetData>
  <autoFilter ref="A4:J204"/>
  <mergeCells count="3">
    <mergeCell ref="A1:J1"/>
    <mergeCell ref="A3:J3"/>
    <mergeCell ref="A2:J2"/>
  </mergeCells>
  <conditionalFormatting sqref="J5:J204">
    <cfRule type="expression" priority="1" dxfId="1">
      <formula>LEN(J5)&gt;0</formula>
    </cfRule>
  </conditionalFormatting>
  <dataValidations count="3">
    <dataValidation sqref="B5:C204" showDropDown="0" showInputMessage="0" showErrorMessage="1" allowBlank="1" errorTitle="数字を入れてください" error="0以上の数字を入れてください。" type="decimal" operator="between">
      <formula1>0</formula1>
      <formula2>999999999</formula2>
    </dataValidation>
    <dataValidation sqref="E5:E204" showDropDown="0" showInputMessage="0" showErrorMessage="1" allowBlank="1" errorTitle="数字を入れてください" error="1%〜100%で入れてください（皮などを捨てない食材は空欄）。" type="decimal" operator="between">
      <formula1>0.01</formula1>
      <formula2>1</formula2>
    </dataValidation>
    <dataValidation sqref="I5:I204" showDropDown="0" showInputMessage="0" showErrorMessage="1" allowBlank="1" errorTitle="日付を入れてください" error="日付を 2026/10/14 のように入れてください。" type="date" operator="between">
      <formula1>36526</formula1>
      <formula2>73051</formula2>
    </dataValidation>
  </dataValidations>
  <printOptions horizontalCentered="1"/>
  <pageMargins left="0.4" right="0.4" top="0.45" bottom="0.45" header="0.2" footer="0.2"/>
  <pageSetup orientation="landscape" paperSize="9" fitToHeight="0" fitToWidth="1"/>
</worksheet>
</file>

<file path=xl/worksheets/sheet9.xml><?xml version="1.0" encoding="utf-8"?>
<worksheet xmlns="http://schemas.openxmlformats.org/spreadsheetml/2006/main">
  <sheetPr>
    <tabColor rgb="00C9A227"/>
    <outlinePr summaryBelow="1" summaryRight="1"/>
    <pageSetUpPr fitToPage="1"/>
  </sheetPr>
  <dimension ref="A1:O107"/>
  <sheetViews>
    <sheetView showGridLines="0" tabSelected="0" workbookViewId="0">
      <pane xSplit="1" ySplit="7" topLeftCell="B8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2" customWidth="1" min="1" max="1"/>
    <col width="10" customWidth="1" min="2" max="2"/>
    <col width="10" customWidth="1" min="3" max="3"/>
    <col width="11" customWidth="1" min="4" max="4"/>
    <col width="9" customWidth="1" min="5" max="5"/>
    <col width="11" customWidth="1" min="6" max="6"/>
    <col width="10" customWidth="1" min="7" max="7"/>
    <col width="8" customWidth="1" min="8" max="8"/>
    <col width="10" customWidth="1" min="9" max="9"/>
    <col width="9" customWidth="1" min="10" max="10"/>
    <col width="7" customWidth="1" min="11" max="11"/>
    <col width="11" customWidth="1" min="12" max="12"/>
    <col width="11" customWidth="1" min="13" max="13"/>
    <col width="20" customWidth="1" min="14" max="14"/>
    <col width="28" customWidth="1" min="15" max="15"/>
  </cols>
  <sheetData>
    <row r="1" ht="26" customHeight="1">
      <c r="A1" s="81" t="inlineStr">
        <is>
          <t>メニュー原価率（1皿の原価・原価率・粗利）</t>
        </is>
      </c>
      <c r="B1" s="82" t="n"/>
      <c r="C1" s="82" t="n"/>
      <c r="D1" s="82" t="n"/>
      <c r="E1" s="82" t="n"/>
      <c r="F1" s="82" t="n"/>
      <c r="G1" s="82" t="n"/>
      <c r="H1" s="82" t="n"/>
      <c r="I1" s="82" t="n"/>
      <c r="J1" s="82" t="n"/>
      <c r="K1" s="82" t="n"/>
      <c r="L1" s="82" t="n"/>
      <c r="M1" s="82" t="n"/>
      <c r="N1" s="82" t="n"/>
      <c r="O1" s="82" t="n"/>
    </row>
    <row r="2">
      <c r="A2" s="92">
        <f>IF(TRIM('設定'!$B$7)&lt;&gt;"",TRIM('設定'!$B$7),TRIM('設定'!$B$3))&amp;"　目標原価率："&amp;IF(ISNUMBER('設定'!$B$8),TEXT('設定'!$B$8,"0.0%"),"（設定シートで入れる）")</f>
        <v/>
      </c>
      <c r="B2" s="82" t="n"/>
      <c r="C2" s="82" t="n"/>
      <c r="D2" s="82" t="n"/>
      <c r="E2" s="82" t="n"/>
      <c r="F2" s="82" t="n"/>
      <c r="G2" s="82" t="n"/>
      <c r="H2" s="82" t="n"/>
      <c r="I2" s="82" t="n"/>
      <c r="J2" s="82" t="n"/>
      <c r="K2" s="82" t="n"/>
      <c r="L2" s="82" t="n"/>
      <c r="M2" s="82" t="n"/>
      <c r="N2" s="82" t="n"/>
      <c r="O2" s="82" t="n"/>
    </row>
    <row r="3" ht="30" customHeight="1">
      <c r="A3" s="85" t="inlineStr">
        <is>
          <t>メニュー名と売価を入れ、材料は「レシピ」シートに1行ずつ入れます。1皿の原価＝レシピの原価÷何人前（空欄は1人前）。原価率＝1皿の原価÷売価。月の出数を入れると、出数を入れたメニュー全体の原価率が上に出ます。</t>
        </is>
      </c>
      <c r="B3" s="82" t="n"/>
      <c r="C3" s="82" t="n"/>
      <c r="D3" s="82" t="n"/>
      <c r="E3" s="82" t="n"/>
      <c r="F3" s="82" t="n"/>
      <c r="G3" s="82" t="n"/>
      <c r="H3" s="82" t="n"/>
      <c r="I3" s="82" t="n"/>
      <c r="J3" s="82" t="n"/>
      <c r="K3" s="82" t="n"/>
      <c r="L3" s="82" t="n"/>
      <c r="M3" s="82" t="n"/>
      <c r="N3" s="82" t="n"/>
      <c r="O3" s="82" t="n"/>
    </row>
    <row r="4">
      <c r="A4" s="26" t="inlineStr">
        <is>
          <t>まとめ（月）</t>
        </is>
      </c>
      <c r="B4" s="26" t="inlineStr">
        <is>
          <t>売上</t>
        </is>
      </c>
      <c r="C4" s="26" t="inlineStr">
        <is>
          <t>原価</t>
        </is>
      </c>
      <c r="D4" s="26" t="inlineStr">
        <is>
          <t>原価率</t>
        </is>
      </c>
      <c r="E4" s="26" t="inlineStr">
        <is>
          <t>メニュー数</t>
        </is>
      </c>
      <c r="F4" s="82" t="n"/>
      <c r="G4" s="82" t="n"/>
      <c r="H4" s="82" t="n"/>
      <c r="I4" s="82" t="n"/>
      <c r="J4" s="82" t="n"/>
      <c r="K4" s="82" t="n"/>
      <c r="L4" s="82" t="n"/>
      <c r="M4" s="82" t="n"/>
      <c r="N4" s="82" t="n"/>
      <c r="O4" s="82" t="n"/>
    </row>
    <row r="5" ht="20" customHeight="1">
      <c r="A5" s="42" t="inlineStr">
        <is>
          <t>出数を入れたメニュー</t>
        </is>
      </c>
      <c r="B5" s="30">
        <f>SUMIFS($L$8:$L$107,$M$8:$M$107,"&gt;=0")</f>
        <v/>
      </c>
      <c r="C5" s="30">
        <f>SUMIFS($M$8:$M$107,$L$8:$L$107,"&gt;=0")</f>
        <v/>
      </c>
      <c r="D5" s="46">
        <f>IF(B5&gt;0,C5/B5,"－")</f>
        <v/>
      </c>
      <c r="E5" s="76">
        <f>COUNTIFS($L$8:$L$107,"&gt;=0",$M$8:$M$107,"&gt;=0")</f>
        <v/>
      </c>
      <c r="F5" s="98" t="inlineStr">
        <is>
          <t>売上・原価は、売価・1皿の原価・月の出数がそろったメニューだけで出します（原価率は売上で重みを付けた全体の値）。</t>
        </is>
      </c>
      <c r="G5" s="82" t="n"/>
      <c r="H5" s="82" t="n"/>
      <c r="I5" s="82" t="n"/>
      <c r="J5" s="82" t="n"/>
      <c r="K5" s="82" t="n"/>
      <c r="L5" s="82" t="n"/>
      <c r="M5" s="82" t="n"/>
      <c r="N5" s="82" t="n"/>
      <c r="O5" s="82" t="n"/>
    </row>
    <row r="6" ht="8" customHeight="1">
      <c r="A6" s="82" t="n"/>
      <c r="B6" s="82" t="n"/>
      <c r="C6" s="82" t="n"/>
      <c r="D6" s="82" t="n"/>
      <c r="E6" s="82" t="n"/>
      <c r="F6" s="82" t="n"/>
      <c r="G6" s="82" t="n"/>
      <c r="H6" s="82" t="n"/>
      <c r="I6" s="82" t="n"/>
      <c r="J6" s="82" t="n"/>
      <c r="K6" s="82" t="n"/>
      <c r="L6" s="82" t="n"/>
      <c r="M6" s="82" t="n"/>
      <c r="N6" s="82" t="n"/>
      <c r="O6" s="82" t="n"/>
    </row>
    <row r="7" ht="32" customHeight="1">
      <c r="A7" s="18" t="inlineStr">
        <is>
          <t>メニュー名</t>
        </is>
      </c>
      <c r="B7" s="18" t="inlineStr">
        <is>
          <t>区分</t>
        </is>
      </c>
      <c r="C7" s="18" t="inlineStr">
        <is>
          <t>売価</t>
        </is>
      </c>
      <c r="D7" s="18" t="inlineStr">
        <is>
          <t>何人前
（レシピの量）</t>
        </is>
      </c>
      <c r="E7" s="18" t="inlineStr">
        <is>
          <t>月の出数
（任意）</t>
        </is>
      </c>
      <c r="F7" s="26" t="inlineStr">
        <is>
          <t>レシピの原価
（自動）</t>
        </is>
      </c>
      <c r="G7" s="26" t="inlineStr">
        <is>
          <t>1皿の原価</t>
        </is>
      </c>
      <c r="H7" s="26" t="inlineStr">
        <is>
          <t>原価率</t>
        </is>
      </c>
      <c r="I7" s="26" t="inlineStr">
        <is>
          <t>1皿の粗利</t>
        </is>
      </c>
      <c r="J7" s="26" t="inlineStr">
        <is>
          <t>判定</t>
        </is>
      </c>
      <c r="K7" s="26" t="inlineStr">
        <is>
          <t>材料の
行数</t>
        </is>
      </c>
      <c r="L7" s="26" t="inlineStr">
        <is>
          <t>売上（月）</t>
        </is>
      </c>
      <c r="M7" s="26" t="inlineStr">
        <is>
          <t>原価（月）</t>
        </is>
      </c>
      <c r="N7" s="18" t="inlineStr">
        <is>
          <t>メモ</t>
        </is>
      </c>
      <c r="O7" s="26" t="inlineStr">
        <is>
          <t>確認</t>
        </is>
      </c>
    </row>
    <row r="8" ht="17" customHeight="1">
      <c r="A8" s="38" t="n"/>
      <c r="B8" s="36" t="n"/>
      <c r="C8" s="40" t="n"/>
      <c r="D8" s="39" t="n"/>
      <c r="E8" s="39" t="n"/>
      <c r="F8" s="77">
        <f>IF(TRIM(A8)="","",SUMIF('レシピ'!$A$5:$A$604,A8,'レシピ'!$F$5:$F$604))</f>
        <v/>
      </c>
      <c r="G8" s="78">
        <f>IF(OR(TRIM(A8)="",N(K8)=0),"",IF(COUNTIFS('レシピ'!$A$5:$A$604,A8,'レシピ'!$F$5:$F$604,"&gt;=0")&lt;K8,"",F8/IF(ISNUMBER(D8),IF(D8&gt;0,D8,1),1)))</f>
        <v/>
      </c>
      <c r="H8" s="46">
        <f>IF(G8="","",IF(ISNUMBER(C8),IF(C8&gt;0,G8/C8,"－"),"－"))</f>
        <v/>
      </c>
      <c r="I8" s="77">
        <f>IF(OR(G8="",NOT(ISNUMBER(C8))),"",C8-G8)</f>
        <v/>
      </c>
      <c r="J8" s="54">
        <f>IF(NOT(ISNUMBER(H8)),"",IF(NOT(ISNUMBER('設定'!$B$8)),"",IF('設定'!$B$8&lt;=0,"",IF(H8&gt;'設定'!$B$8,"目標超え","目標内"))))</f>
        <v/>
      </c>
      <c r="K8" s="79">
        <f>IF(TRIM(A8)="","",COUNTIF('レシピ'!$A$5:$A$604,A8))</f>
        <v/>
      </c>
      <c r="L8" s="31">
        <f>IF(AND(ISNUMBER(C8),ISNUMBER(E8)),C8*E8,"")</f>
        <v/>
      </c>
      <c r="M8" s="31">
        <f>IF(AND(ISNUMBER(G8),ISNUMBER(E8)),G8*E8,"")</f>
        <v/>
      </c>
      <c r="N8" s="33" t="n"/>
      <c r="O8" s="34">
        <f>IF(TRIM(A8)="",IF(COUNTA(B8:E8,N8)&gt;0,"メニュー名がありません",""),IF(COUNTIF($A$8:$A$107,A8)&gt;1,"同じメニュー名があります",IF(N(K8)=0,"レシピに材料がありません",IF(COUNTIFS('レシピ'!$A$5:$A$604,A8,'レシピ'!$F$5:$F$604,"&gt;=0")&lt;K8,"レシピに原価の出ない行があります（レシピの確認の列）",IF(NOT(ISNUMBER(C8)),"売価がありません","")))))</f>
        <v/>
      </c>
    </row>
    <row r="9" ht="17" customHeight="1">
      <c r="A9" s="38" t="n"/>
      <c r="B9" s="36" t="n"/>
      <c r="C9" s="40" t="n"/>
      <c r="D9" s="39" t="n"/>
      <c r="E9" s="39" t="n"/>
      <c r="F9" s="77">
        <f>IF(TRIM(A9)="","",SUMIF('レシピ'!$A$5:$A$604,A9,'レシピ'!$F$5:$F$604))</f>
        <v/>
      </c>
      <c r="G9" s="78">
        <f>IF(OR(TRIM(A9)="",N(K9)=0),"",IF(COUNTIFS('レシピ'!$A$5:$A$604,A9,'レシピ'!$F$5:$F$604,"&gt;=0")&lt;K9,"",F9/IF(ISNUMBER(D9),IF(D9&gt;0,D9,1),1)))</f>
        <v/>
      </c>
      <c r="H9" s="46">
        <f>IF(G9="","",IF(ISNUMBER(C9),IF(C9&gt;0,G9/C9,"－"),"－"))</f>
        <v/>
      </c>
      <c r="I9" s="77">
        <f>IF(OR(G9="",NOT(ISNUMBER(C9))),"",C9-G9)</f>
        <v/>
      </c>
      <c r="J9" s="54">
        <f>IF(NOT(ISNUMBER(H9)),"",IF(NOT(ISNUMBER('設定'!$B$8)),"",IF('設定'!$B$8&lt;=0,"",IF(H9&gt;'設定'!$B$8,"目標超え","目標内"))))</f>
        <v/>
      </c>
      <c r="K9" s="79">
        <f>IF(TRIM(A9)="","",COUNTIF('レシピ'!$A$5:$A$604,A9))</f>
        <v/>
      </c>
      <c r="L9" s="31">
        <f>IF(AND(ISNUMBER(C9),ISNUMBER(E9)),C9*E9,"")</f>
        <v/>
      </c>
      <c r="M9" s="31">
        <f>IF(AND(ISNUMBER(G9),ISNUMBER(E9)),G9*E9,"")</f>
        <v/>
      </c>
      <c r="N9" s="33" t="n"/>
      <c r="O9" s="34">
        <f>IF(TRIM(A9)="",IF(COUNTA(B9:E9,N9)&gt;0,"メニュー名がありません",""),IF(COUNTIF($A$8:$A$107,A9)&gt;1,"同じメニュー名があります",IF(N(K9)=0,"レシピに材料がありません",IF(COUNTIFS('レシピ'!$A$5:$A$604,A9,'レシピ'!$F$5:$F$604,"&gt;=0")&lt;K9,"レシピに原価の出ない行があります（レシピの確認の列）",IF(NOT(ISNUMBER(C9)),"売価がありません","")))))</f>
        <v/>
      </c>
    </row>
    <row r="10" ht="17" customHeight="1">
      <c r="A10" s="38" t="n"/>
      <c r="B10" s="36" t="n"/>
      <c r="C10" s="40" t="n"/>
      <c r="D10" s="39" t="n"/>
      <c r="E10" s="39" t="n"/>
      <c r="F10" s="77">
        <f>IF(TRIM(A10)="","",SUMIF('レシピ'!$A$5:$A$604,A10,'レシピ'!$F$5:$F$604))</f>
        <v/>
      </c>
      <c r="G10" s="78">
        <f>IF(OR(TRIM(A10)="",N(K10)=0),"",IF(COUNTIFS('レシピ'!$A$5:$A$604,A10,'レシピ'!$F$5:$F$604,"&gt;=0")&lt;K10,"",F10/IF(ISNUMBER(D10),IF(D10&gt;0,D10,1),1)))</f>
        <v/>
      </c>
      <c r="H10" s="46">
        <f>IF(G10="","",IF(ISNUMBER(C10),IF(C10&gt;0,G10/C10,"－"),"－"))</f>
        <v/>
      </c>
      <c r="I10" s="77">
        <f>IF(OR(G10="",NOT(ISNUMBER(C10))),"",C10-G10)</f>
        <v/>
      </c>
      <c r="J10" s="54">
        <f>IF(NOT(ISNUMBER(H10)),"",IF(NOT(ISNUMBER('設定'!$B$8)),"",IF('設定'!$B$8&lt;=0,"",IF(H10&gt;'設定'!$B$8,"目標超え","目標内"))))</f>
        <v/>
      </c>
      <c r="K10" s="79">
        <f>IF(TRIM(A10)="","",COUNTIF('レシピ'!$A$5:$A$604,A10))</f>
        <v/>
      </c>
      <c r="L10" s="31">
        <f>IF(AND(ISNUMBER(C10),ISNUMBER(E10)),C10*E10,"")</f>
        <v/>
      </c>
      <c r="M10" s="31">
        <f>IF(AND(ISNUMBER(G10),ISNUMBER(E10)),G10*E10,"")</f>
        <v/>
      </c>
      <c r="N10" s="33" t="n"/>
      <c r="O10" s="34">
        <f>IF(TRIM(A10)="",IF(COUNTA(B10:E10,N10)&gt;0,"メニュー名がありません",""),IF(COUNTIF($A$8:$A$107,A10)&gt;1,"同じメニュー名があります",IF(N(K10)=0,"レシピに材料がありません",IF(COUNTIFS('レシピ'!$A$5:$A$604,A10,'レシピ'!$F$5:$F$604,"&gt;=0")&lt;K10,"レシピに原価の出ない行があります（レシピの確認の列）",IF(NOT(ISNUMBER(C10)),"売価がありません","")))))</f>
        <v/>
      </c>
    </row>
    <row r="11" ht="17" customHeight="1">
      <c r="A11" s="38" t="n"/>
      <c r="B11" s="36" t="n"/>
      <c r="C11" s="40" t="n"/>
      <c r="D11" s="39" t="n"/>
      <c r="E11" s="39" t="n"/>
      <c r="F11" s="77">
        <f>IF(TRIM(A11)="","",SUMIF('レシピ'!$A$5:$A$604,A11,'レシピ'!$F$5:$F$604))</f>
        <v/>
      </c>
      <c r="G11" s="78">
        <f>IF(OR(TRIM(A11)="",N(K11)=0),"",IF(COUNTIFS('レシピ'!$A$5:$A$604,A11,'レシピ'!$F$5:$F$604,"&gt;=0")&lt;K11,"",F11/IF(ISNUMBER(D11),IF(D11&gt;0,D11,1),1)))</f>
        <v/>
      </c>
      <c r="H11" s="46">
        <f>IF(G11="","",IF(ISNUMBER(C11),IF(C11&gt;0,G11/C11,"－"),"－"))</f>
        <v/>
      </c>
      <c r="I11" s="77">
        <f>IF(OR(G11="",NOT(ISNUMBER(C11))),"",C11-G11)</f>
        <v/>
      </c>
      <c r="J11" s="54">
        <f>IF(NOT(ISNUMBER(H11)),"",IF(NOT(ISNUMBER('設定'!$B$8)),"",IF('設定'!$B$8&lt;=0,"",IF(H11&gt;'設定'!$B$8,"目標超え","目標内"))))</f>
        <v/>
      </c>
      <c r="K11" s="79">
        <f>IF(TRIM(A11)="","",COUNTIF('レシピ'!$A$5:$A$604,A11))</f>
        <v/>
      </c>
      <c r="L11" s="31">
        <f>IF(AND(ISNUMBER(C11),ISNUMBER(E11)),C11*E11,"")</f>
        <v/>
      </c>
      <c r="M11" s="31">
        <f>IF(AND(ISNUMBER(G11),ISNUMBER(E11)),G11*E11,"")</f>
        <v/>
      </c>
      <c r="N11" s="33" t="n"/>
      <c r="O11" s="34">
        <f>IF(TRIM(A11)="",IF(COUNTA(B11:E11,N11)&gt;0,"メニュー名がありません",""),IF(COUNTIF($A$8:$A$107,A11)&gt;1,"同じメニュー名があります",IF(N(K11)=0,"レシピに材料がありません",IF(COUNTIFS('レシピ'!$A$5:$A$604,A11,'レシピ'!$F$5:$F$604,"&gt;=0")&lt;K11,"レシピに原価の出ない行があります（レシピの確認の列）",IF(NOT(ISNUMBER(C11)),"売価がありません","")))))</f>
        <v/>
      </c>
    </row>
    <row r="12" ht="17" customHeight="1">
      <c r="A12" s="38" t="n"/>
      <c r="B12" s="36" t="n"/>
      <c r="C12" s="40" t="n"/>
      <c r="D12" s="39" t="n"/>
      <c r="E12" s="39" t="n"/>
      <c r="F12" s="77">
        <f>IF(TRIM(A12)="","",SUMIF('レシピ'!$A$5:$A$604,A12,'レシピ'!$F$5:$F$604))</f>
        <v/>
      </c>
      <c r="G12" s="78">
        <f>IF(OR(TRIM(A12)="",N(K12)=0),"",IF(COUNTIFS('レシピ'!$A$5:$A$604,A12,'レシピ'!$F$5:$F$604,"&gt;=0")&lt;K12,"",F12/IF(ISNUMBER(D12),IF(D12&gt;0,D12,1),1)))</f>
        <v/>
      </c>
      <c r="H12" s="46">
        <f>IF(G12="","",IF(ISNUMBER(C12),IF(C12&gt;0,G12/C12,"－"),"－"))</f>
        <v/>
      </c>
      <c r="I12" s="77">
        <f>IF(OR(G12="",NOT(ISNUMBER(C12))),"",C12-G12)</f>
        <v/>
      </c>
      <c r="J12" s="54">
        <f>IF(NOT(ISNUMBER(H12)),"",IF(NOT(ISNUMBER('設定'!$B$8)),"",IF('設定'!$B$8&lt;=0,"",IF(H12&gt;'設定'!$B$8,"目標超え","目標内"))))</f>
        <v/>
      </c>
      <c r="K12" s="79">
        <f>IF(TRIM(A12)="","",COUNTIF('レシピ'!$A$5:$A$604,A12))</f>
        <v/>
      </c>
      <c r="L12" s="31">
        <f>IF(AND(ISNUMBER(C12),ISNUMBER(E12)),C12*E12,"")</f>
        <v/>
      </c>
      <c r="M12" s="31">
        <f>IF(AND(ISNUMBER(G12),ISNUMBER(E12)),G12*E12,"")</f>
        <v/>
      </c>
      <c r="N12" s="33" t="n"/>
      <c r="O12" s="34">
        <f>IF(TRIM(A12)="",IF(COUNTA(B12:E12,N12)&gt;0,"メニュー名がありません",""),IF(COUNTIF($A$8:$A$107,A12)&gt;1,"同じメニュー名があります",IF(N(K12)=0,"レシピに材料がありません",IF(COUNTIFS('レシピ'!$A$5:$A$604,A12,'レシピ'!$F$5:$F$604,"&gt;=0")&lt;K12,"レシピに原価の出ない行があります（レシピの確認の列）",IF(NOT(ISNUMBER(C12)),"売価がありません","")))))</f>
        <v/>
      </c>
    </row>
    <row r="13" ht="17" customHeight="1">
      <c r="A13" s="38" t="n"/>
      <c r="B13" s="36" t="n"/>
      <c r="C13" s="40" t="n"/>
      <c r="D13" s="39" t="n"/>
      <c r="E13" s="39" t="n"/>
      <c r="F13" s="77">
        <f>IF(TRIM(A13)="","",SUMIF('レシピ'!$A$5:$A$604,A13,'レシピ'!$F$5:$F$604))</f>
        <v/>
      </c>
      <c r="G13" s="78">
        <f>IF(OR(TRIM(A13)="",N(K13)=0),"",IF(COUNTIFS('レシピ'!$A$5:$A$604,A13,'レシピ'!$F$5:$F$604,"&gt;=0")&lt;K13,"",F13/IF(ISNUMBER(D13),IF(D13&gt;0,D13,1),1)))</f>
        <v/>
      </c>
      <c r="H13" s="46">
        <f>IF(G13="","",IF(ISNUMBER(C13),IF(C13&gt;0,G13/C13,"－"),"－"))</f>
        <v/>
      </c>
      <c r="I13" s="77">
        <f>IF(OR(G13="",NOT(ISNUMBER(C13))),"",C13-G13)</f>
        <v/>
      </c>
      <c r="J13" s="54">
        <f>IF(NOT(ISNUMBER(H13)),"",IF(NOT(ISNUMBER('設定'!$B$8)),"",IF('設定'!$B$8&lt;=0,"",IF(H13&gt;'設定'!$B$8,"目標超え","目標内"))))</f>
        <v/>
      </c>
      <c r="K13" s="79">
        <f>IF(TRIM(A13)="","",COUNTIF('レシピ'!$A$5:$A$604,A13))</f>
        <v/>
      </c>
      <c r="L13" s="31">
        <f>IF(AND(ISNUMBER(C13),ISNUMBER(E13)),C13*E13,"")</f>
        <v/>
      </c>
      <c r="M13" s="31">
        <f>IF(AND(ISNUMBER(G13),ISNUMBER(E13)),G13*E13,"")</f>
        <v/>
      </c>
      <c r="N13" s="33" t="n"/>
      <c r="O13" s="34">
        <f>IF(TRIM(A13)="",IF(COUNTA(B13:E13,N13)&gt;0,"メニュー名がありません",""),IF(COUNTIF($A$8:$A$107,A13)&gt;1,"同じメニュー名があります",IF(N(K13)=0,"レシピに材料がありません",IF(COUNTIFS('レシピ'!$A$5:$A$604,A13,'レシピ'!$F$5:$F$604,"&gt;=0")&lt;K13,"レシピに原価の出ない行があります（レシピの確認の列）",IF(NOT(ISNUMBER(C13)),"売価がありません","")))))</f>
        <v/>
      </c>
    </row>
    <row r="14" ht="17" customHeight="1">
      <c r="A14" s="38" t="n"/>
      <c r="B14" s="36" t="n"/>
      <c r="C14" s="40" t="n"/>
      <c r="D14" s="39" t="n"/>
      <c r="E14" s="39" t="n"/>
      <c r="F14" s="77">
        <f>IF(TRIM(A14)="","",SUMIF('レシピ'!$A$5:$A$604,A14,'レシピ'!$F$5:$F$604))</f>
        <v/>
      </c>
      <c r="G14" s="78">
        <f>IF(OR(TRIM(A14)="",N(K14)=0),"",IF(COUNTIFS('レシピ'!$A$5:$A$604,A14,'レシピ'!$F$5:$F$604,"&gt;=0")&lt;K14,"",F14/IF(ISNUMBER(D14),IF(D14&gt;0,D14,1),1)))</f>
        <v/>
      </c>
      <c r="H14" s="46">
        <f>IF(G14="","",IF(ISNUMBER(C14),IF(C14&gt;0,G14/C14,"－"),"－"))</f>
        <v/>
      </c>
      <c r="I14" s="77">
        <f>IF(OR(G14="",NOT(ISNUMBER(C14))),"",C14-G14)</f>
        <v/>
      </c>
      <c r="J14" s="54">
        <f>IF(NOT(ISNUMBER(H14)),"",IF(NOT(ISNUMBER('設定'!$B$8)),"",IF('設定'!$B$8&lt;=0,"",IF(H14&gt;'設定'!$B$8,"目標超え","目標内"))))</f>
        <v/>
      </c>
      <c r="K14" s="79">
        <f>IF(TRIM(A14)="","",COUNTIF('レシピ'!$A$5:$A$604,A14))</f>
        <v/>
      </c>
      <c r="L14" s="31">
        <f>IF(AND(ISNUMBER(C14),ISNUMBER(E14)),C14*E14,"")</f>
        <v/>
      </c>
      <c r="M14" s="31">
        <f>IF(AND(ISNUMBER(G14),ISNUMBER(E14)),G14*E14,"")</f>
        <v/>
      </c>
      <c r="N14" s="33" t="n"/>
      <c r="O14" s="34">
        <f>IF(TRIM(A14)="",IF(COUNTA(B14:E14,N14)&gt;0,"メニュー名がありません",""),IF(COUNTIF($A$8:$A$107,A14)&gt;1,"同じメニュー名があります",IF(N(K14)=0,"レシピに材料がありません",IF(COUNTIFS('レシピ'!$A$5:$A$604,A14,'レシピ'!$F$5:$F$604,"&gt;=0")&lt;K14,"レシピに原価の出ない行があります（レシピの確認の列）",IF(NOT(ISNUMBER(C14)),"売価がありません","")))))</f>
        <v/>
      </c>
    </row>
    <row r="15" ht="17" customHeight="1">
      <c r="A15" s="38" t="n"/>
      <c r="B15" s="36" t="n"/>
      <c r="C15" s="40" t="n"/>
      <c r="D15" s="39" t="n"/>
      <c r="E15" s="39" t="n"/>
      <c r="F15" s="77">
        <f>IF(TRIM(A15)="","",SUMIF('レシピ'!$A$5:$A$604,A15,'レシピ'!$F$5:$F$604))</f>
        <v/>
      </c>
      <c r="G15" s="78">
        <f>IF(OR(TRIM(A15)="",N(K15)=0),"",IF(COUNTIFS('レシピ'!$A$5:$A$604,A15,'レシピ'!$F$5:$F$604,"&gt;=0")&lt;K15,"",F15/IF(ISNUMBER(D15),IF(D15&gt;0,D15,1),1)))</f>
        <v/>
      </c>
      <c r="H15" s="46">
        <f>IF(G15="","",IF(ISNUMBER(C15),IF(C15&gt;0,G15/C15,"－"),"－"))</f>
        <v/>
      </c>
      <c r="I15" s="77">
        <f>IF(OR(G15="",NOT(ISNUMBER(C15))),"",C15-G15)</f>
        <v/>
      </c>
      <c r="J15" s="54">
        <f>IF(NOT(ISNUMBER(H15)),"",IF(NOT(ISNUMBER('設定'!$B$8)),"",IF('設定'!$B$8&lt;=0,"",IF(H15&gt;'設定'!$B$8,"目標超え","目標内"))))</f>
        <v/>
      </c>
      <c r="K15" s="79">
        <f>IF(TRIM(A15)="","",COUNTIF('レシピ'!$A$5:$A$604,A15))</f>
        <v/>
      </c>
      <c r="L15" s="31">
        <f>IF(AND(ISNUMBER(C15),ISNUMBER(E15)),C15*E15,"")</f>
        <v/>
      </c>
      <c r="M15" s="31">
        <f>IF(AND(ISNUMBER(G15),ISNUMBER(E15)),G15*E15,"")</f>
        <v/>
      </c>
      <c r="N15" s="33" t="n"/>
      <c r="O15" s="34">
        <f>IF(TRIM(A15)="",IF(COUNTA(B15:E15,N15)&gt;0,"メニュー名がありません",""),IF(COUNTIF($A$8:$A$107,A15)&gt;1,"同じメニュー名があります",IF(N(K15)=0,"レシピに材料がありません",IF(COUNTIFS('レシピ'!$A$5:$A$604,A15,'レシピ'!$F$5:$F$604,"&gt;=0")&lt;K15,"レシピに原価の出ない行があります（レシピの確認の列）",IF(NOT(ISNUMBER(C15)),"売価がありません","")))))</f>
        <v/>
      </c>
    </row>
    <row r="16" ht="17" customHeight="1">
      <c r="A16" s="38" t="n"/>
      <c r="B16" s="36" t="n"/>
      <c r="C16" s="40" t="n"/>
      <c r="D16" s="39" t="n"/>
      <c r="E16" s="39" t="n"/>
      <c r="F16" s="77">
        <f>IF(TRIM(A16)="","",SUMIF('レシピ'!$A$5:$A$604,A16,'レシピ'!$F$5:$F$604))</f>
        <v/>
      </c>
      <c r="G16" s="78">
        <f>IF(OR(TRIM(A16)="",N(K16)=0),"",IF(COUNTIFS('レシピ'!$A$5:$A$604,A16,'レシピ'!$F$5:$F$604,"&gt;=0")&lt;K16,"",F16/IF(ISNUMBER(D16),IF(D16&gt;0,D16,1),1)))</f>
        <v/>
      </c>
      <c r="H16" s="46">
        <f>IF(G16="","",IF(ISNUMBER(C16),IF(C16&gt;0,G16/C16,"－"),"－"))</f>
        <v/>
      </c>
      <c r="I16" s="77">
        <f>IF(OR(G16="",NOT(ISNUMBER(C16))),"",C16-G16)</f>
        <v/>
      </c>
      <c r="J16" s="54">
        <f>IF(NOT(ISNUMBER(H16)),"",IF(NOT(ISNUMBER('設定'!$B$8)),"",IF('設定'!$B$8&lt;=0,"",IF(H16&gt;'設定'!$B$8,"目標超え","目標内"))))</f>
        <v/>
      </c>
      <c r="K16" s="79">
        <f>IF(TRIM(A16)="","",COUNTIF('レシピ'!$A$5:$A$604,A16))</f>
        <v/>
      </c>
      <c r="L16" s="31">
        <f>IF(AND(ISNUMBER(C16),ISNUMBER(E16)),C16*E16,"")</f>
        <v/>
      </c>
      <c r="M16" s="31">
        <f>IF(AND(ISNUMBER(G16),ISNUMBER(E16)),G16*E16,"")</f>
        <v/>
      </c>
      <c r="N16" s="33" t="n"/>
      <c r="O16" s="34">
        <f>IF(TRIM(A16)="",IF(COUNTA(B16:E16,N16)&gt;0,"メニュー名がありません",""),IF(COUNTIF($A$8:$A$107,A16)&gt;1,"同じメニュー名があります",IF(N(K16)=0,"レシピに材料がありません",IF(COUNTIFS('レシピ'!$A$5:$A$604,A16,'レシピ'!$F$5:$F$604,"&gt;=0")&lt;K16,"レシピに原価の出ない行があります（レシピの確認の列）",IF(NOT(ISNUMBER(C16)),"売価がありません","")))))</f>
        <v/>
      </c>
    </row>
    <row r="17" ht="17" customHeight="1">
      <c r="A17" s="38" t="n"/>
      <c r="B17" s="36" t="n"/>
      <c r="C17" s="40" t="n"/>
      <c r="D17" s="39" t="n"/>
      <c r="E17" s="39" t="n"/>
      <c r="F17" s="77">
        <f>IF(TRIM(A17)="","",SUMIF('レシピ'!$A$5:$A$604,A17,'レシピ'!$F$5:$F$604))</f>
        <v/>
      </c>
      <c r="G17" s="78">
        <f>IF(OR(TRIM(A17)="",N(K17)=0),"",IF(COUNTIFS('レシピ'!$A$5:$A$604,A17,'レシピ'!$F$5:$F$604,"&gt;=0")&lt;K17,"",F17/IF(ISNUMBER(D17),IF(D17&gt;0,D17,1),1)))</f>
        <v/>
      </c>
      <c r="H17" s="46">
        <f>IF(G17="","",IF(ISNUMBER(C17),IF(C17&gt;0,G17/C17,"－"),"－"))</f>
        <v/>
      </c>
      <c r="I17" s="77">
        <f>IF(OR(G17="",NOT(ISNUMBER(C17))),"",C17-G17)</f>
        <v/>
      </c>
      <c r="J17" s="54">
        <f>IF(NOT(ISNUMBER(H17)),"",IF(NOT(ISNUMBER('設定'!$B$8)),"",IF('設定'!$B$8&lt;=0,"",IF(H17&gt;'設定'!$B$8,"目標超え","目標内"))))</f>
        <v/>
      </c>
      <c r="K17" s="79">
        <f>IF(TRIM(A17)="","",COUNTIF('レシピ'!$A$5:$A$604,A17))</f>
        <v/>
      </c>
      <c r="L17" s="31">
        <f>IF(AND(ISNUMBER(C17),ISNUMBER(E17)),C17*E17,"")</f>
        <v/>
      </c>
      <c r="M17" s="31">
        <f>IF(AND(ISNUMBER(G17),ISNUMBER(E17)),G17*E17,"")</f>
        <v/>
      </c>
      <c r="N17" s="33" t="n"/>
      <c r="O17" s="34">
        <f>IF(TRIM(A17)="",IF(COUNTA(B17:E17,N17)&gt;0,"メニュー名がありません",""),IF(COUNTIF($A$8:$A$107,A17)&gt;1,"同じメニュー名があります",IF(N(K17)=0,"レシピに材料がありません",IF(COUNTIFS('レシピ'!$A$5:$A$604,A17,'レシピ'!$F$5:$F$604,"&gt;=0")&lt;K17,"レシピに原価の出ない行があります（レシピの確認の列）",IF(NOT(ISNUMBER(C17)),"売価がありません","")))))</f>
        <v/>
      </c>
    </row>
    <row r="18" ht="17" customHeight="1">
      <c r="A18" s="38" t="n"/>
      <c r="B18" s="36" t="n"/>
      <c r="C18" s="40" t="n"/>
      <c r="D18" s="39" t="n"/>
      <c r="E18" s="39" t="n"/>
      <c r="F18" s="77">
        <f>IF(TRIM(A18)="","",SUMIF('レシピ'!$A$5:$A$604,A18,'レシピ'!$F$5:$F$604))</f>
        <v/>
      </c>
      <c r="G18" s="78">
        <f>IF(OR(TRIM(A18)="",N(K18)=0),"",IF(COUNTIFS('レシピ'!$A$5:$A$604,A18,'レシピ'!$F$5:$F$604,"&gt;=0")&lt;K18,"",F18/IF(ISNUMBER(D18),IF(D18&gt;0,D18,1),1)))</f>
        <v/>
      </c>
      <c r="H18" s="46">
        <f>IF(G18="","",IF(ISNUMBER(C18),IF(C18&gt;0,G18/C18,"－"),"－"))</f>
        <v/>
      </c>
      <c r="I18" s="77">
        <f>IF(OR(G18="",NOT(ISNUMBER(C18))),"",C18-G18)</f>
        <v/>
      </c>
      <c r="J18" s="54">
        <f>IF(NOT(ISNUMBER(H18)),"",IF(NOT(ISNUMBER('設定'!$B$8)),"",IF('設定'!$B$8&lt;=0,"",IF(H18&gt;'設定'!$B$8,"目標超え","目標内"))))</f>
        <v/>
      </c>
      <c r="K18" s="79">
        <f>IF(TRIM(A18)="","",COUNTIF('レシピ'!$A$5:$A$604,A18))</f>
        <v/>
      </c>
      <c r="L18" s="31">
        <f>IF(AND(ISNUMBER(C18),ISNUMBER(E18)),C18*E18,"")</f>
        <v/>
      </c>
      <c r="M18" s="31">
        <f>IF(AND(ISNUMBER(G18),ISNUMBER(E18)),G18*E18,"")</f>
        <v/>
      </c>
      <c r="N18" s="33" t="n"/>
      <c r="O18" s="34">
        <f>IF(TRIM(A18)="",IF(COUNTA(B18:E18,N18)&gt;0,"メニュー名がありません",""),IF(COUNTIF($A$8:$A$107,A18)&gt;1,"同じメニュー名があります",IF(N(K18)=0,"レシピに材料がありません",IF(COUNTIFS('レシピ'!$A$5:$A$604,A18,'レシピ'!$F$5:$F$604,"&gt;=0")&lt;K18,"レシピに原価の出ない行があります（レシピの確認の列）",IF(NOT(ISNUMBER(C18)),"売価がありません","")))))</f>
        <v/>
      </c>
    </row>
    <row r="19" ht="17" customHeight="1">
      <c r="A19" s="38" t="n"/>
      <c r="B19" s="36" t="n"/>
      <c r="C19" s="40" t="n"/>
      <c r="D19" s="39" t="n"/>
      <c r="E19" s="39" t="n"/>
      <c r="F19" s="77">
        <f>IF(TRIM(A19)="","",SUMIF('レシピ'!$A$5:$A$604,A19,'レシピ'!$F$5:$F$604))</f>
        <v/>
      </c>
      <c r="G19" s="78">
        <f>IF(OR(TRIM(A19)="",N(K19)=0),"",IF(COUNTIFS('レシピ'!$A$5:$A$604,A19,'レシピ'!$F$5:$F$604,"&gt;=0")&lt;K19,"",F19/IF(ISNUMBER(D19),IF(D19&gt;0,D19,1),1)))</f>
        <v/>
      </c>
      <c r="H19" s="46">
        <f>IF(G19="","",IF(ISNUMBER(C19),IF(C19&gt;0,G19/C19,"－"),"－"))</f>
        <v/>
      </c>
      <c r="I19" s="77">
        <f>IF(OR(G19="",NOT(ISNUMBER(C19))),"",C19-G19)</f>
        <v/>
      </c>
      <c r="J19" s="54">
        <f>IF(NOT(ISNUMBER(H19)),"",IF(NOT(ISNUMBER('設定'!$B$8)),"",IF('設定'!$B$8&lt;=0,"",IF(H19&gt;'設定'!$B$8,"目標超え","目標内"))))</f>
        <v/>
      </c>
      <c r="K19" s="79">
        <f>IF(TRIM(A19)="","",COUNTIF('レシピ'!$A$5:$A$604,A19))</f>
        <v/>
      </c>
      <c r="L19" s="31">
        <f>IF(AND(ISNUMBER(C19),ISNUMBER(E19)),C19*E19,"")</f>
        <v/>
      </c>
      <c r="M19" s="31">
        <f>IF(AND(ISNUMBER(G19),ISNUMBER(E19)),G19*E19,"")</f>
        <v/>
      </c>
      <c r="N19" s="33" t="n"/>
      <c r="O19" s="34">
        <f>IF(TRIM(A19)="",IF(COUNTA(B19:E19,N19)&gt;0,"メニュー名がありません",""),IF(COUNTIF($A$8:$A$107,A19)&gt;1,"同じメニュー名があります",IF(N(K19)=0,"レシピに材料がありません",IF(COUNTIFS('レシピ'!$A$5:$A$604,A19,'レシピ'!$F$5:$F$604,"&gt;=0")&lt;K19,"レシピに原価の出ない行があります（レシピの確認の列）",IF(NOT(ISNUMBER(C19)),"売価がありません","")))))</f>
        <v/>
      </c>
    </row>
    <row r="20" ht="17" customHeight="1">
      <c r="A20" s="38" t="n"/>
      <c r="B20" s="36" t="n"/>
      <c r="C20" s="40" t="n"/>
      <c r="D20" s="39" t="n"/>
      <c r="E20" s="39" t="n"/>
      <c r="F20" s="77">
        <f>IF(TRIM(A20)="","",SUMIF('レシピ'!$A$5:$A$604,A20,'レシピ'!$F$5:$F$604))</f>
        <v/>
      </c>
      <c r="G20" s="78">
        <f>IF(OR(TRIM(A20)="",N(K20)=0),"",IF(COUNTIFS('レシピ'!$A$5:$A$604,A20,'レシピ'!$F$5:$F$604,"&gt;=0")&lt;K20,"",F20/IF(ISNUMBER(D20),IF(D20&gt;0,D20,1),1)))</f>
        <v/>
      </c>
      <c r="H20" s="46">
        <f>IF(G20="","",IF(ISNUMBER(C20),IF(C20&gt;0,G20/C20,"－"),"－"))</f>
        <v/>
      </c>
      <c r="I20" s="77">
        <f>IF(OR(G20="",NOT(ISNUMBER(C20))),"",C20-G20)</f>
        <v/>
      </c>
      <c r="J20" s="54">
        <f>IF(NOT(ISNUMBER(H20)),"",IF(NOT(ISNUMBER('設定'!$B$8)),"",IF('設定'!$B$8&lt;=0,"",IF(H20&gt;'設定'!$B$8,"目標超え","目標内"))))</f>
        <v/>
      </c>
      <c r="K20" s="79">
        <f>IF(TRIM(A20)="","",COUNTIF('レシピ'!$A$5:$A$604,A20))</f>
        <v/>
      </c>
      <c r="L20" s="31">
        <f>IF(AND(ISNUMBER(C20),ISNUMBER(E20)),C20*E20,"")</f>
        <v/>
      </c>
      <c r="M20" s="31">
        <f>IF(AND(ISNUMBER(G20),ISNUMBER(E20)),G20*E20,"")</f>
        <v/>
      </c>
      <c r="N20" s="33" t="n"/>
      <c r="O20" s="34">
        <f>IF(TRIM(A20)="",IF(COUNTA(B20:E20,N20)&gt;0,"メニュー名がありません",""),IF(COUNTIF($A$8:$A$107,A20)&gt;1,"同じメニュー名があります",IF(N(K20)=0,"レシピに材料がありません",IF(COUNTIFS('レシピ'!$A$5:$A$604,A20,'レシピ'!$F$5:$F$604,"&gt;=0")&lt;K20,"レシピに原価の出ない行があります（レシピの確認の列）",IF(NOT(ISNUMBER(C20)),"売価がありません","")))))</f>
        <v/>
      </c>
    </row>
    <row r="21" ht="17" customHeight="1">
      <c r="A21" s="38" t="n"/>
      <c r="B21" s="36" t="n"/>
      <c r="C21" s="40" t="n"/>
      <c r="D21" s="39" t="n"/>
      <c r="E21" s="39" t="n"/>
      <c r="F21" s="77">
        <f>IF(TRIM(A21)="","",SUMIF('レシピ'!$A$5:$A$604,A21,'レシピ'!$F$5:$F$604))</f>
        <v/>
      </c>
      <c r="G21" s="78">
        <f>IF(OR(TRIM(A21)="",N(K21)=0),"",IF(COUNTIFS('レシピ'!$A$5:$A$604,A21,'レシピ'!$F$5:$F$604,"&gt;=0")&lt;K21,"",F21/IF(ISNUMBER(D21),IF(D21&gt;0,D21,1),1)))</f>
        <v/>
      </c>
      <c r="H21" s="46">
        <f>IF(G21="","",IF(ISNUMBER(C21),IF(C21&gt;0,G21/C21,"－"),"－"))</f>
        <v/>
      </c>
      <c r="I21" s="77">
        <f>IF(OR(G21="",NOT(ISNUMBER(C21))),"",C21-G21)</f>
        <v/>
      </c>
      <c r="J21" s="54">
        <f>IF(NOT(ISNUMBER(H21)),"",IF(NOT(ISNUMBER('設定'!$B$8)),"",IF('設定'!$B$8&lt;=0,"",IF(H21&gt;'設定'!$B$8,"目標超え","目標内"))))</f>
        <v/>
      </c>
      <c r="K21" s="79">
        <f>IF(TRIM(A21)="","",COUNTIF('レシピ'!$A$5:$A$604,A21))</f>
        <v/>
      </c>
      <c r="L21" s="31">
        <f>IF(AND(ISNUMBER(C21),ISNUMBER(E21)),C21*E21,"")</f>
        <v/>
      </c>
      <c r="M21" s="31">
        <f>IF(AND(ISNUMBER(G21),ISNUMBER(E21)),G21*E21,"")</f>
        <v/>
      </c>
      <c r="N21" s="33" t="n"/>
      <c r="O21" s="34">
        <f>IF(TRIM(A21)="",IF(COUNTA(B21:E21,N21)&gt;0,"メニュー名がありません",""),IF(COUNTIF($A$8:$A$107,A21)&gt;1,"同じメニュー名があります",IF(N(K21)=0,"レシピに材料がありません",IF(COUNTIFS('レシピ'!$A$5:$A$604,A21,'レシピ'!$F$5:$F$604,"&gt;=0")&lt;K21,"レシピに原価の出ない行があります（レシピの確認の列）",IF(NOT(ISNUMBER(C21)),"売価がありません","")))))</f>
        <v/>
      </c>
    </row>
    <row r="22" ht="17" customHeight="1">
      <c r="A22" s="38" t="n"/>
      <c r="B22" s="36" t="n"/>
      <c r="C22" s="40" t="n"/>
      <c r="D22" s="39" t="n"/>
      <c r="E22" s="39" t="n"/>
      <c r="F22" s="77">
        <f>IF(TRIM(A22)="","",SUMIF('レシピ'!$A$5:$A$604,A22,'レシピ'!$F$5:$F$604))</f>
        <v/>
      </c>
      <c r="G22" s="78">
        <f>IF(OR(TRIM(A22)="",N(K22)=0),"",IF(COUNTIFS('レシピ'!$A$5:$A$604,A22,'レシピ'!$F$5:$F$604,"&gt;=0")&lt;K22,"",F22/IF(ISNUMBER(D22),IF(D22&gt;0,D22,1),1)))</f>
        <v/>
      </c>
      <c r="H22" s="46">
        <f>IF(G22="","",IF(ISNUMBER(C22),IF(C22&gt;0,G22/C22,"－"),"－"))</f>
        <v/>
      </c>
      <c r="I22" s="77">
        <f>IF(OR(G22="",NOT(ISNUMBER(C22))),"",C22-G22)</f>
        <v/>
      </c>
      <c r="J22" s="54">
        <f>IF(NOT(ISNUMBER(H22)),"",IF(NOT(ISNUMBER('設定'!$B$8)),"",IF('設定'!$B$8&lt;=0,"",IF(H22&gt;'設定'!$B$8,"目標超え","目標内"))))</f>
        <v/>
      </c>
      <c r="K22" s="79">
        <f>IF(TRIM(A22)="","",COUNTIF('レシピ'!$A$5:$A$604,A22))</f>
        <v/>
      </c>
      <c r="L22" s="31">
        <f>IF(AND(ISNUMBER(C22),ISNUMBER(E22)),C22*E22,"")</f>
        <v/>
      </c>
      <c r="M22" s="31">
        <f>IF(AND(ISNUMBER(G22),ISNUMBER(E22)),G22*E22,"")</f>
        <v/>
      </c>
      <c r="N22" s="33" t="n"/>
      <c r="O22" s="34">
        <f>IF(TRIM(A22)="",IF(COUNTA(B22:E22,N22)&gt;0,"メニュー名がありません",""),IF(COUNTIF($A$8:$A$107,A22)&gt;1,"同じメニュー名があります",IF(N(K22)=0,"レシピに材料がありません",IF(COUNTIFS('レシピ'!$A$5:$A$604,A22,'レシピ'!$F$5:$F$604,"&gt;=0")&lt;K22,"レシピに原価の出ない行があります（レシピの確認の列）",IF(NOT(ISNUMBER(C22)),"売価がありません","")))))</f>
        <v/>
      </c>
    </row>
    <row r="23" ht="17" customHeight="1">
      <c r="A23" s="38" t="n"/>
      <c r="B23" s="36" t="n"/>
      <c r="C23" s="40" t="n"/>
      <c r="D23" s="39" t="n"/>
      <c r="E23" s="39" t="n"/>
      <c r="F23" s="77">
        <f>IF(TRIM(A23)="","",SUMIF('レシピ'!$A$5:$A$604,A23,'レシピ'!$F$5:$F$604))</f>
        <v/>
      </c>
      <c r="G23" s="78">
        <f>IF(OR(TRIM(A23)="",N(K23)=0),"",IF(COUNTIFS('レシピ'!$A$5:$A$604,A23,'レシピ'!$F$5:$F$604,"&gt;=0")&lt;K23,"",F23/IF(ISNUMBER(D23),IF(D23&gt;0,D23,1),1)))</f>
        <v/>
      </c>
      <c r="H23" s="46">
        <f>IF(G23="","",IF(ISNUMBER(C23),IF(C23&gt;0,G23/C23,"－"),"－"))</f>
        <v/>
      </c>
      <c r="I23" s="77">
        <f>IF(OR(G23="",NOT(ISNUMBER(C23))),"",C23-G23)</f>
        <v/>
      </c>
      <c r="J23" s="54">
        <f>IF(NOT(ISNUMBER(H23)),"",IF(NOT(ISNUMBER('設定'!$B$8)),"",IF('設定'!$B$8&lt;=0,"",IF(H23&gt;'設定'!$B$8,"目標超え","目標内"))))</f>
        <v/>
      </c>
      <c r="K23" s="79">
        <f>IF(TRIM(A23)="","",COUNTIF('レシピ'!$A$5:$A$604,A23))</f>
        <v/>
      </c>
      <c r="L23" s="31">
        <f>IF(AND(ISNUMBER(C23),ISNUMBER(E23)),C23*E23,"")</f>
        <v/>
      </c>
      <c r="M23" s="31">
        <f>IF(AND(ISNUMBER(G23),ISNUMBER(E23)),G23*E23,"")</f>
        <v/>
      </c>
      <c r="N23" s="33" t="n"/>
      <c r="O23" s="34">
        <f>IF(TRIM(A23)="",IF(COUNTA(B23:E23,N23)&gt;0,"メニュー名がありません",""),IF(COUNTIF($A$8:$A$107,A23)&gt;1,"同じメニュー名があります",IF(N(K23)=0,"レシピに材料がありません",IF(COUNTIFS('レシピ'!$A$5:$A$604,A23,'レシピ'!$F$5:$F$604,"&gt;=0")&lt;K23,"レシピに原価の出ない行があります（レシピの確認の列）",IF(NOT(ISNUMBER(C23)),"売価がありません","")))))</f>
        <v/>
      </c>
    </row>
    <row r="24" ht="17" customHeight="1">
      <c r="A24" s="38" t="n"/>
      <c r="B24" s="36" t="n"/>
      <c r="C24" s="40" t="n"/>
      <c r="D24" s="39" t="n"/>
      <c r="E24" s="39" t="n"/>
      <c r="F24" s="77">
        <f>IF(TRIM(A24)="","",SUMIF('レシピ'!$A$5:$A$604,A24,'レシピ'!$F$5:$F$604))</f>
        <v/>
      </c>
      <c r="G24" s="78">
        <f>IF(OR(TRIM(A24)="",N(K24)=0),"",IF(COUNTIFS('レシピ'!$A$5:$A$604,A24,'レシピ'!$F$5:$F$604,"&gt;=0")&lt;K24,"",F24/IF(ISNUMBER(D24),IF(D24&gt;0,D24,1),1)))</f>
        <v/>
      </c>
      <c r="H24" s="46">
        <f>IF(G24="","",IF(ISNUMBER(C24),IF(C24&gt;0,G24/C24,"－"),"－"))</f>
        <v/>
      </c>
      <c r="I24" s="77">
        <f>IF(OR(G24="",NOT(ISNUMBER(C24))),"",C24-G24)</f>
        <v/>
      </c>
      <c r="J24" s="54">
        <f>IF(NOT(ISNUMBER(H24)),"",IF(NOT(ISNUMBER('設定'!$B$8)),"",IF('設定'!$B$8&lt;=0,"",IF(H24&gt;'設定'!$B$8,"目標超え","目標内"))))</f>
        <v/>
      </c>
      <c r="K24" s="79">
        <f>IF(TRIM(A24)="","",COUNTIF('レシピ'!$A$5:$A$604,A24))</f>
        <v/>
      </c>
      <c r="L24" s="31">
        <f>IF(AND(ISNUMBER(C24),ISNUMBER(E24)),C24*E24,"")</f>
        <v/>
      </c>
      <c r="M24" s="31">
        <f>IF(AND(ISNUMBER(G24),ISNUMBER(E24)),G24*E24,"")</f>
        <v/>
      </c>
      <c r="N24" s="33" t="n"/>
      <c r="O24" s="34">
        <f>IF(TRIM(A24)="",IF(COUNTA(B24:E24,N24)&gt;0,"メニュー名がありません",""),IF(COUNTIF($A$8:$A$107,A24)&gt;1,"同じメニュー名があります",IF(N(K24)=0,"レシピに材料がありません",IF(COUNTIFS('レシピ'!$A$5:$A$604,A24,'レシピ'!$F$5:$F$604,"&gt;=0")&lt;K24,"レシピに原価の出ない行があります（レシピの確認の列）",IF(NOT(ISNUMBER(C24)),"売価がありません","")))))</f>
        <v/>
      </c>
    </row>
    <row r="25" ht="17" customHeight="1">
      <c r="A25" s="38" t="n"/>
      <c r="B25" s="36" t="n"/>
      <c r="C25" s="40" t="n"/>
      <c r="D25" s="39" t="n"/>
      <c r="E25" s="39" t="n"/>
      <c r="F25" s="77">
        <f>IF(TRIM(A25)="","",SUMIF('レシピ'!$A$5:$A$604,A25,'レシピ'!$F$5:$F$604))</f>
        <v/>
      </c>
      <c r="G25" s="78">
        <f>IF(OR(TRIM(A25)="",N(K25)=0),"",IF(COUNTIFS('レシピ'!$A$5:$A$604,A25,'レシピ'!$F$5:$F$604,"&gt;=0")&lt;K25,"",F25/IF(ISNUMBER(D25),IF(D25&gt;0,D25,1),1)))</f>
        <v/>
      </c>
      <c r="H25" s="46">
        <f>IF(G25="","",IF(ISNUMBER(C25),IF(C25&gt;0,G25/C25,"－"),"－"))</f>
        <v/>
      </c>
      <c r="I25" s="77">
        <f>IF(OR(G25="",NOT(ISNUMBER(C25))),"",C25-G25)</f>
        <v/>
      </c>
      <c r="J25" s="54">
        <f>IF(NOT(ISNUMBER(H25)),"",IF(NOT(ISNUMBER('設定'!$B$8)),"",IF('設定'!$B$8&lt;=0,"",IF(H25&gt;'設定'!$B$8,"目標超え","目標内"))))</f>
        <v/>
      </c>
      <c r="K25" s="79">
        <f>IF(TRIM(A25)="","",COUNTIF('レシピ'!$A$5:$A$604,A25))</f>
        <v/>
      </c>
      <c r="L25" s="31">
        <f>IF(AND(ISNUMBER(C25),ISNUMBER(E25)),C25*E25,"")</f>
        <v/>
      </c>
      <c r="M25" s="31">
        <f>IF(AND(ISNUMBER(G25),ISNUMBER(E25)),G25*E25,"")</f>
        <v/>
      </c>
      <c r="N25" s="33" t="n"/>
      <c r="O25" s="34">
        <f>IF(TRIM(A25)="",IF(COUNTA(B25:E25,N25)&gt;0,"メニュー名がありません",""),IF(COUNTIF($A$8:$A$107,A25)&gt;1,"同じメニュー名があります",IF(N(K25)=0,"レシピに材料がありません",IF(COUNTIFS('レシピ'!$A$5:$A$604,A25,'レシピ'!$F$5:$F$604,"&gt;=0")&lt;K25,"レシピに原価の出ない行があります（レシピの確認の列）",IF(NOT(ISNUMBER(C25)),"売価がありません","")))))</f>
        <v/>
      </c>
    </row>
    <row r="26" ht="17" customHeight="1">
      <c r="A26" s="38" t="n"/>
      <c r="B26" s="36" t="n"/>
      <c r="C26" s="40" t="n"/>
      <c r="D26" s="39" t="n"/>
      <c r="E26" s="39" t="n"/>
      <c r="F26" s="77">
        <f>IF(TRIM(A26)="","",SUMIF('レシピ'!$A$5:$A$604,A26,'レシピ'!$F$5:$F$604))</f>
        <v/>
      </c>
      <c r="G26" s="78">
        <f>IF(OR(TRIM(A26)="",N(K26)=0),"",IF(COUNTIFS('レシピ'!$A$5:$A$604,A26,'レシピ'!$F$5:$F$604,"&gt;=0")&lt;K26,"",F26/IF(ISNUMBER(D26),IF(D26&gt;0,D26,1),1)))</f>
        <v/>
      </c>
      <c r="H26" s="46">
        <f>IF(G26="","",IF(ISNUMBER(C26),IF(C26&gt;0,G26/C26,"－"),"－"))</f>
        <v/>
      </c>
      <c r="I26" s="77">
        <f>IF(OR(G26="",NOT(ISNUMBER(C26))),"",C26-G26)</f>
        <v/>
      </c>
      <c r="J26" s="54">
        <f>IF(NOT(ISNUMBER(H26)),"",IF(NOT(ISNUMBER('設定'!$B$8)),"",IF('設定'!$B$8&lt;=0,"",IF(H26&gt;'設定'!$B$8,"目標超え","目標内"))))</f>
        <v/>
      </c>
      <c r="K26" s="79">
        <f>IF(TRIM(A26)="","",COUNTIF('レシピ'!$A$5:$A$604,A26))</f>
        <v/>
      </c>
      <c r="L26" s="31">
        <f>IF(AND(ISNUMBER(C26),ISNUMBER(E26)),C26*E26,"")</f>
        <v/>
      </c>
      <c r="M26" s="31">
        <f>IF(AND(ISNUMBER(G26),ISNUMBER(E26)),G26*E26,"")</f>
        <v/>
      </c>
      <c r="N26" s="33" t="n"/>
      <c r="O26" s="34">
        <f>IF(TRIM(A26)="",IF(COUNTA(B26:E26,N26)&gt;0,"メニュー名がありません",""),IF(COUNTIF($A$8:$A$107,A26)&gt;1,"同じメニュー名があります",IF(N(K26)=0,"レシピに材料がありません",IF(COUNTIFS('レシピ'!$A$5:$A$604,A26,'レシピ'!$F$5:$F$604,"&gt;=0")&lt;K26,"レシピに原価の出ない行があります（レシピの確認の列）",IF(NOT(ISNUMBER(C26)),"売価がありません","")))))</f>
        <v/>
      </c>
    </row>
    <row r="27" ht="17" customHeight="1">
      <c r="A27" s="38" t="n"/>
      <c r="B27" s="36" t="n"/>
      <c r="C27" s="40" t="n"/>
      <c r="D27" s="39" t="n"/>
      <c r="E27" s="39" t="n"/>
      <c r="F27" s="77">
        <f>IF(TRIM(A27)="","",SUMIF('レシピ'!$A$5:$A$604,A27,'レシピ'!$F$5:$F$604))</f>
        <v/>
      </c>
      <c r="G27" s="78">
        <f>IF(OR(TRIM(A27)="",N(K27)=0),"",IF(COUNTIFS('レシピ'!$A$5:$A$604,A27,'レシピ'!$F$5:$F$604,"&gt;=0")&lt;K27,"",F27/IF(ISNUMBER(D27),IF(D27&gt;0,D27,1),1)))</f>
        <v/>
      </c>
      <c r="H27" s="46">
        <f>IF(G27="","",IF(ISNUMBER(C27),IF(C27&gt;0,G27/C27,"－"),"－"))</f>
        <v/>
      </c>
      <c r="I27" s="77">
        <f>IF(OR(G27="",NOT(ISNUMBER(C27))),"",C27-G27)</f>
        <v/>
      </c>
      <c r="J27" s="54">
        <f>IF(NOT(ISNUMBER(H27)),"",IF(NOT(ISNUMBER('設定'!$B$8)),"",IF('設定'!$B$8&lt;=0,"",IF(H27&gt;'設定'!$B$8,"目標超え","目標内"))))</f>
        <v/>
      </c>
      <c r="K27" s="79">
        <f>IF(TRIM(A27)="","",COUNTIF('レシピ'!$A$5:$A$604,A27))</f>
        <v/>
      </c>
      <c r="L27" s="31">
        <f>IF(AND(ISNUMBER(C27),ISNUMBER(E27)),C27*E27,"")</f>
        <v/>
      </c>
      <c r="M27" s="31">
        <f>IF(AND(ISNUMBER(G27),ISNUMBER(E27)),G27*E27,"")</f>
        <v/>
      </c>
      <c r="N27" s="33" t="n"/>
      <c r="O27" s="34">
        <f>IF(TRIM(A27)="",IF(COUNTA(B27:E27,N27)&gt;0,"メニュー名がありません",""),IF(COUNTIF($A$8:$A$107,A27)&gt;1,"同じメニュー名があります",IF(N(K27)=0,"レシピに材料がありません",IF(COUNTIFS('レシピ'!$A$5:$A$604,A27,'レシピ'!$F$5:$F$604,"&gt;=0")&lt;K27,"レシピに原価の出ない行があります（レシピの確認の列）",IF(NOT(ISNUMBER(C27)),"売価がありません","")))))</f>
        <v/>
      </c>
    </row>
    <row r="28" ht="17" customHeight="1">
      <c r="A28" s="38" t="n"/>
      <c r="B28" s="36" t="n"/>
      <c r="C28" s="40" t="n"/>
      <c r="D28" s="39" t="n"/>
      <c r="E28" s="39" t="n"/>
      <c r="F28" s="77">
        <f>IF(TRIM(A28)="","",SUMIF('レシピ'!$A$5:$A$604,A28,'レシピ'!$F$5:$F$604))</f>
        <v/>
      </c>
      <c r="G28" s="78">
        <f>IF(OR(TRIM(A28)="",N(K28)=0),"",IF(COUNTIFS('レシピ'!$A$5:$A$604,A28,'レシピ'!$F$5:$F$604,"&gt;=0")&lt;K28,"",F28/IF(ISNUMBER(D28),IF(D28&gt;0,D28,1),1)))</f>
        <v/>
      </c>
      <c r="H28" s="46">
        <f>IF(G28="","",IF(ISNUMBER(C28),IF(C28&gt;0,G28/C28,"－"),"－"))</f>
        <v/>
      </c>
      <c r="I28" s="77">
        <f>IF(OR(G28="",NOT(ISNUMBER(C28))),"",C28-G28)</f>
        <v/>
      </c>
      <c r="J28" s="54">
        <f>IF(NOT(ISNUMBER(H28)),"",IF(NOT(ISNUMBER('設定'!$B$8)),"",IF('設定'!$B$8&lt;=0,"",IF(H28&gt;'設定'!$B$8,"目標超え","目標内"))))</f>
        <v/>
      </c>
      <c r="K28" s="79">
        <f>IF(TRIM(A28)="","",COUNTIF('レシピ'!$A$5:$A$604,A28))</f>
        <v/>
      </c>
      <c r="L28" s="31">
        <f>IF(AND(ISNUMBER(C28),ISNUMBER(E28)),C28*E28,"")</f>
        <v/>
      </c>
      <c r="M28" s="31">
        <f>IF(AND(ISNUMBER(G28),ISNUMBER(E28)),G28*E28,"")</f>
        <v/>
      </c>
      <c r="N28" s="33" t="n"/>
      <c r="O28" s="34">
        <f>IF(TRIM(A28)="",IF(COUNTA(B28:E28,N28)&gt;0,"メニュー名がありません",""),IF(COUNTIF($A$8:$A$107,A28)&gt;1,"同じメニュー名があります",IF(N(K28)=0,"レシピに材料がありません",IF(COUNTIFS('レシピ'!$A$5:$A$604,A28,'レシピ'!$F$5:$F$604,"&gt;=0")&lt;K28,"レシピに原価の出ない行があります（レシピの確認の列）",IF(NOT(ISNUMBER(C28)),"売価がありません","")))))</f>
        <v/>
      </c>
    </row>
    <row r="29" ht="17" customHeight="1">
      <c r="A29" s="38" t="n"/>
      <c r="B29" s="36" t="n"/>
      <c r="C29" s="40" t="n"/>
      <c r="D29" s="39" t="n"/>
      <c r="E29" s="39" t="n"/>
      <c r="F29" s="77">
        <f>IF(TRIM(A29)="","",SUMIF('レシピ'!$A$5:$A$604,A29,'レシピ'!$F$5:$F$604))</f>
        <v/>
      </c>
      <c r="G29" s="78">
        <f>IF(OR(TRIM(A29)="",N(K29)=0),"",IF(COUNTIFS('レシピ'!$A$5:$A$604,A29,'レシピ'!$F$5:$F$604,"&gt;=0")&lt;K29,"",F29/IF(ISNUMBER(D29),IF(D29&gt;0,D29,1),1)))</f>
        <v/>
      </c>
      <c r="H29" s="46">
        <f>IF(G29="","",IF(ISNUMBER(C29),IF(C29&gt;0,G29/C29,"－"),"－"))</f>
        <v/>
      </c>
      <c r="I29" s="77">
        <f>IF(OR(G29="",NOT(ISNUMBER(C29))),"",C29-G29)</f>
        <v/>
      </c>
      <c r="J29" s="54">
        <f>IF(NOT(ISNUMBER(H29)),"",IF(NOT(ISNUMBER('設定'!$B$8)),"",IF('設定'!$B$8&lt;=0,"",IF(H29&gt;'設定'!$B$8,"目標超え","目標内"))))</f>
        <v/>
      </c>
      <c r="K29" s="79">
        <f>IF(TRIM(A29)="","",COUNTIF('レシピ'!$A$5:$A$604,A29))</f>
        <v/>
      </c>
      <c r="L29" s="31">
        <f>IF(AND(ISNUMBER(C29),ISNUMBER(E29)),C29*E29,"")</f>
        <v/>
      </c>
      <c r="M29" s="31">
        <f>IF(AND(ISNUMBER(G29),ISNUMBER(E29)),G29*E29,"")</f>
        <v/>
      </c>
      <c r="N29" s="33" t="n"/>
      <c r="O29" s="34">
        <f>IF(TRIM(A29)="",IF(COUNTA(B29:E29,N29)&gt;0,"メニュー名がありません",""),IF(COUNTIF($A$8:$A$107,A29)&gt;1,"同じメニュー名があります",IF(N(K29)=0,"レシピに材料がありません",IF(COUNTIFS('レシピ'!$A$5:$A$604,A29,'レシピ'!$F$5:$F$604,"&gt;=0")&lt;K29,"レシピに原価の出ない行があります（レシピの確認の列）",IF(NOT(ISNUMBER(C29)),"売価がありません","")))))</f>
        <v/>
      </c>
    </row>
    <row r="30" ht="17" customHeight="1">
      <c r="A30" s="38" t="n"/>
      <c r="B30" s="36" t="n"/>
      <c r="C30" s="40" t="n"/>
      <c r="D30" s="39" t="n"/>
      <c r="E30" s="39" t="n"/>
      <c r="F30" s="77">
        <f>IF(TRIM(A30)="","",SUMIF('レシピ'!$A$5:$A$604,A30,'レシピ'!$F$5:$F$604))</f>
        <v/>
      </c>
      <c r="G30" s="78">
        <f>IF(OR(TRIM(A30)="",N(K30)=0),"",IF(COUNTIFS('レシピ'!$A$5:$A$604,A30,'レシピ'!$F$5:$F$604,"&gt;=0")&lt;K30,"",F30/IF(ISNUMBER(D30),IF(D30&gt;0,D30,1),1)))</f>
        <v/>
      </c>
      <c r="H30" s="46">
        <f>IF(G30="","",IF(ISNUMBER(C30),IF(C30&gt;0,G30/C30,"－"),"－"))</f>
        <v/>
      </c>
      <c r="I30" s="77">
        <f>IF(OR(G30="",NOT(ISNUMBER(C30))),"",C30-G30)</f>
        <v/>
      </c>
      <c r="J30" s="54">
        <f>IF(NOT(ISNUMBER(H30)),"",IF(NOT(ISNUMBER('設定'!$B$8)),"",IF('設定'!$B$8&lt;=0,"",IF(H30&gt;'設定'!$B$8,"目標超え","目標内"))))</f>
        <v/>
      </c>
      <c r="K30" s="79">
        <f>IF(TRIM(A30)="","",COUNTIF('レシピ'!$A$5:$A$604,A30))</f>
        <v/>
      </c>
      <c r="L30" s="31">
        <f>IF(AND(ISNUMBER(C30),ISNUMBER(E30)),C30*E30,"")</f>
        <v/>
      </c>
      <c r="M30" s="31">
        <f>IF(AND(ISNUMBER(G30),ISNUMBER(E30)),G30*E30,"")</f>
        <v/>
      </c>
      <c r="N30" s="33" t="n"/>
      <c r="O30" s="34">
        <f>IF(TRIM(A30)="",IF(COUNTA(B30:E30,N30)&gt;0,"メニュー名がありません",""),IF(COUNTIF($A$8:$A$107,A30)&gt;1,"同じメニュー名があります",IF(N(K30)=0,"レシピに材料がありません",IF(COUNTIFS('レシピ'!$A$5:$A$604,A30,'レシピ'!$F$5:$F$604,"&gt;=0")&lt;K30,"レシピに原価の出ない行があります（レシピの確認の列）",IF(NOT(ISNUMBER(C30)),"売価がありません","")))))</f>
        <v/>
      </c>
    </row>
    <row r="31" ht="17" customHeight="1">
      <c r="A31" s="38" t="n"/>
      <c r="B31" s="36" t="n"/>
      <c r="C31" s="40" t="n"/>
      <c r="D31" s="39" t="n"/>
      <c r="E31" s="39" t="n"/>
      <c r="F31" s="77">
        <f>IF(TRIM(A31)="","",SUMIF('レシピ'!$A$5:$A$604,A31,'レシピ'!$F$5:$F$604))</f>
        <v/>
      </c>
      <c r="G31" s="78">
        <f>IF(OR(TRIM(A31)="",N(K31)=0),"",IF(COUNTIFS('レシピ'!$A$5:$A$604,A31,'レシピ'!$F$5:$F$604,"&gt;=0")&lt;K31,"",F31/IF(ISNUMBER(D31),IF(D31&gt;0,D31,1),1)))</f>
        <v/>
      </c>
      <c r="H31" s="46">
        <f>IF(G31="","",IF(ISNUMBER(C31),IF(C31&gt;0,G31/C31,"－"),"－"))</f>
        <v/>
      </c>
      <c r="I31" s="77">
        <f>IF(OR(G31="",NOT(ISNUMBER(C31))),"",C31-G31)</f>
        <v/>
      </c>
      <c r="J31" s="54">
        <f>IF(NOT(ISNUMBER(H31)),"",IF(NOT(ISNUMBER('設定'!$B$8)),"",IF('設定'!$B$8&lt;=0,"",IF(H31&gt;'設定'!$B$8,"目標超え","目標内"))))</f>
        <v/>
      </c>
      <c r="K31" s="79">
        <f>IF(TRIM(A31)="","",COUNTIF('レシピ'!$A$5:$A$604,A31))</f>
        <v/>
      </c>
      <c r="L31" s="31">
        <f>IF(AND(ISNUMBER(C31),ISNUMBER(E31)),C31*E31,"")</f>
        <v/>
      </c>
      <c r="M31" s="31">
        <f>IF(AND(ISNUMBER(G31),ISNUMBER(E31)),G31*E31,"")</f>
        <v/>
      </c>
      <c r="N31" s="33" t="n"/>
      <c r="O31" s="34">
        <f>IF(TRIM(A31)="",IF(COUNTA(B31:E31,N31)&gt;0,"メニュー名がありません",""),IF(COUNTIF($A$8:$A$107,A31)&gt;1,"同じメニュー名があります",IF(N(K31)=0,"レシピに材料がありません",IF(COUNTIFS('レシピ'!$A$5:$A$604,A31,'レシピ'!$F$5:$F$604,"&gt;=0")&lt;K31,"レシピに原価の出ない行があります（レシピの確認の列）",IF(NOT(ISNUMBER(C31)),"売価がありません","")))))</f>
        <v/>
      </c>
    </row>
    <row r="32" ht="17" customHeight="1">
      <c r="A32" s="38" t="n"/>
      <c r="B32" s="36" t="n"/>
      <c r="C32" s="40" t="n"/>
      <c r="D32" s="39" t="n"/>
      <c r="E32" s="39" t="n"/>
      <c r="F32" s="77">
        <f>IF(TRIM(A32)="","",SUMIF('レシピ'!$A$5:$A$604,A32,'レシピ'!$F$5:$F$604))</f>
        <v/>
      </c>
      <c r="G32" s="78">
        <f>IF(OR(TRIM(A32)="",N(K32)=0),"",IF(COUNTIFS('レシピ'!$A$5:$A$604,A32,'レシピ'!$F$5:$F$604,"&gt;=0")&lt;K32,"",F32/IF(ISNUMBER(D32),IF(D32&gt;0,D32,1),1)))</f>
        <v/>
      </c>
      <c r="H32" s="46">
        <f>IF(G32="","",IF(ISNUMBER(C32),IF(C32&gt;0,G32/C32,"－"),"－"))</f>
        <v/>
      </c>
      <c r="I32" s="77">
        <f>IF(OR(G32="",NOT(ISNUMBER(C32))),"",C32-G32)</f>
        <v/>
      </c>
      <c r="J32" s="54">
        <f>IF(NOT(ISNUMBER(H32)),"",IF(NOT(ISNUMBER('設定'!$B$8)),"",IF('設定'!$B$8&lt;=0,"",IF(H32&gt;'設定'!$B$8,"目標超え","目標内"))))</f>
        <v/>
      </c>
      <c r="K32" s="79">
        <f>IF(TRIM(A32)="","",COUNTIF('レシピ'!$A$5:$A$604,A32))</f>
        <v/>
      </c>
      <c r="L32" s="31">
        <f>IF(AND(ISNUMBER(C32),ISNUMBER(E32)),C32*E32,"")</f>
        <v/>
      </c>
      <c r="M32" s="31">
        <f>IF(AND(ISNUMBER(G32),ISNUMBER(E32)),G32*E32,"")</f>
        <v/>
      </c>
      <c r="N32" s="33" t="n"/>
      <c r="O32" s="34">
        <f>IF(TRIM(A32)="",IF(COUNTA(B32:E32,N32)&gt;0,"メニュー名がありません",""),IF(COUNTIF($A$8:$A$107,A32)&gt;1,"同じメニュー名があります",IF(N(K32)=0,"レシピに材料がありません",IF(COUNTIFS('レシピ'!$A$5:$A$604,A32,'レシピ'!$F$5:$F$604,"&gt;=0")&lt;K32,"レシピに原価の出ない行があります（レシピの確認の列）",IF(NOT(ISNUMBER(C32)),"売価がありません","")))))</f>
        <v/>
      </c>
    </row>
    <row r="33" ht="17" customHeight="1">
      <c r="A33" s="38" t="n"/>
      <c r="B33" s="36" t="n"/>
      <c r="C33" s="40" t="n"/>
      <c r="D33" s="39" t="n"/>
      <c r="E33" s="39" t="n"/>
      <c r="F33" s="77">
        <f>IF(TRIM(A33)="","",SUMIF('レシピ'!$A$5:$A$604,A33,'レシピ'!$F$5:$F$604))</f>
        <v/>
      </c>
      <c r="G33" s="78">
        <f>IF(OR(TRIM(A33)="",N(K33)=0),"",IF(COUNTIFS('レシピ'!$A$5:$A$604,A33,'レシピ'!$F$5:$F$604,"&gt;=0")&lt;K33,"",F33/IF(ISNUMBER(D33),IF(D33&gt;0,D33,1),1)))</f>
        <v/>
      </c>
      <c r="H33" s="46">
        <f>IF(G33="","",IF(ISNUMBER(C33),IF(C33&gt;0,G33/C33,"－"),"－"))</f>
        <v/>
      </c>
      <c r="I33" s="77">
        <f>IF(OR(G33="",NOT(ISNUMBER(C33))),"",C33-G33)</f>
        <v/>
      </c>
      <c r="J33" s="54">
        <f>IF(NOT(ISNUMBER(H33)),"",IF(NOT(ISNUMBER('設定'!$B$8)),"",IF('設定'!$B$8&lt;=0,"",IF(H33&gt;'設定'!$B$8,"目標超え","目標内"))))</f>
        <v/>
      </c>
      <c r="K33" s="79">
        <f>IF(TRIM(A33)="","",COUNTIF('レシピ'!$A$5:$A$604,A33))</f>
        <v/>
      </c>
      <c r="L33" s="31">
        <f>IF(AND(ISNUMBER(C33),ISNUMBER(E33)),C33*E33,"")</f>
        <v/>
      </c>
      <c r="M33" s="31">
        <f>IF(AND(ISNUMBER(G33),ISNUMBER(E33)),G33*E33,"")</f>
        <v/>
      </c>
      <c r="N33" s="33" t="n"/>
      <c r="O33" s="34">
        <f>IF(TRIM(A33)="",IF(COUNTA(B33:E33,N33)&gt;0,"メニュー名がありません",""),IF(COUNTIF($A$8:$A$107,A33)&gt;1,"同じメニュー名があります",IF(N(K33)=0,"レシピに材料がありません",IF(COUNTIFS('レシピ'!$A$5:$A$604,A33,'レシピ'!$F$5:$F$604,"&gt;=0")&lt;K33,"レシピに原価の出ない行があります（レシピの確認の列）",IF(NOT(ISNUMBER(C33)),"売価がありません","")))))</f>
        <v/>
      </c>
    </row>
    <row r="34" ht="17" customHeight="1">
      <c r="A34" s="38" t="n"/>
      <c r="B34" s="36" t="n"/>
      <c r="C34" s="40" t="n"/>
      <c r="D34" s="39" t="n"/>
      <c r="E34" s="39" t="n"/>
      <c r="F34" s="77">
        <f>IF(TRIM(A34)="","",SUMIF('レシピ'!$A$5:$A$604,A34,'レシピ'!$F$5:$F$604))</f>
        <v/>
      </c>
      <c r="G34" s="78">
        <f>IF(OR(TRIM(A34)="",N(K34)=0),"",IF(COUNTIFS('レシピ'!$A$5:$A$604,A34,'レシピ'!$F$5:$F$604,"&gt;=0")&lt;K34,"",F34/IF(ISNUMBER(D34),IF(D34&gt;0,D34,1),1)))</f>
        <v/>
      </c>
      <c r="H34" s="46">
        <f>IF(G34="","",IF(ISNUMBER(C34),IF(C34&gt;0,G34/C34,"－"),"－"))</f>
        <v/>
      </c>
      <c r="I34" s="77">
        <f>IF(OR(G34="",NOT(ISNUMBER(C34))),"",C34-G34)</f>
        <v/>
      </c>
      <c r="J34" s="54">
        <f>IF(NOT(ISNUMBER(H34)),"",IF(NOT(ISNUMBER('設定'!$B$8)),"",IF('設定'!$B$8&lt;=0,"",IF(H34&gt;'設定'!$B$8,"目標超え","目標内"))))</f>
        <v/>
      </c>
      <c r="K34" s="79">
        <f>IF(TRIM(A34)="","",COUNTIF('レシピ'!$A$5:$A$604,A34))</f>
        <v/>
      </c>
      <c r="L34" s="31">
        <f>IF(AND(ISNUMBER(C34),ISNUMBER(E34)),C34*E34,"")</f>
        <v/>
      </c>
      <c r="M34" s="31">
        <f>IF(AND(ISNUMBER(G34),ISNUMBER(E34)),G34*E34,"")</f>
        <v/>
      </c>
      <c r="N34" s="33" t="n"/>
      <c r="O34" s="34">
        <f>IF(TRIM(A34)="",IF(COUNTA(B34:E34,N34)&gt;0,"メニュー名がありません",""),IF(COUNTIF($A$8:$A$107,A34)&gt;1,"同じメニュー名があります",IF(N(K34)=0,"レシピに材料がありません",IF(COUNTIFS('レシピ'!$A$5:$A$604,A34,'レシピ'!$F$5:$F$604,"&gt;=0")&lt;K34,"レシピに原価の出ない行があります（レシピの確認の列）",IF(NOT(ISNUMBER(C34)),"売価がありません","")))))</f>
        <v/>
      </c>
    </row>
    <row r="35" ht="17" customHeight="1">
      <c r="A35" s="38" t="n"/>
      <c r="B35" s="36" t="n"/>
      <c r="C35" s="40" t="n"/>
      <c r="D35" s="39" t="n"/>
      <c r="E35" s="39" t="n"/>
      <c r="F35" s="77">
        <f>IF(TRIM(A35)="","",SUMIF('レシピ'!$A$5:$A$604,A35,'レシピ'!$F$5:$F$604))</f>
        <v/>
      </c>
      <c r="G35" s="78">
        <f>IF(OR(TRIM(A35)="",N(K35)=0),"",IF(COUNTIFS('レシピ'!$A$5:$A$604,A35,'レシピ'!$F$5:$F$604,"&gt;=0")&lt;K35,"",F35/IF(ISNUMBER(D35),IF(D35&gt;0,D35,1),1)))</f>
        <v/>
      </c>
      <c r="H35" s="46">
        <f>IF(G35="","",IF(ISNUMBER(C35),IF(C35&gt;0,G35/C35,"－"),"－"))</f>
        <v/>
      </c>
      <c r="I35" s="77">
        <f>IF(OR(G35="",NOT(ISNUMBER(C35))),"",C35-G35)</f>
        <v/>
      </c>
      <c r="J35" s="54">
        <f>IF(NOT(ISNUMBER(H35)),"",IF(NOT(ISNUMBER('設定'!$B$8)),"",IF('設定'!$B$8&lt;=0,"",IF(H35&gt;'設定'!$B$8,"目標超え","目標内"))))</f>
        <v/>
      </c>
      <c r="K35" s="79">
        <f>IF(TRIM(A35)="","",COUNTIF('レシピ'!$A$5:$A$604,A35))</f>
        <v/>
      </c>
      <c r="L35" s="31">
        <f>IF(AND(ISNUMBER(C35),ISNUMBER(E35)),C35*E35,"")</f>
        <v/>
      </c>
      <c r="M35" s="31">
        <f>IF(AND(ISNUMBER(G35),ISNUMBER(E35)),G35*E35,"")</f>
        <v/>
      </c>
      <c r="N35" s="33" t="n"/>
      <c r="O35" s="34">
        <f>IF(TRIM(A35)="",IF(COUNTA(B35:E35,N35)&gt;0,"メニュー名がありません",""),IF(COUNTIF($A$8:$A$107,A35)&gt;1,"同じメニュー名があります",IF(N(K35)=0,"レシピに材料がありません",IF(COUNTIFS('レシピ'!$A$5:$A$604,A35,'レシピ'!$F$5:$F$604,"&gt;=0")&lt;K35,"レシピに原価の出ない行があります（レシピの確認の列）",IF(NOT(ISNUMBER(C35)),"売価がありません","")))))</f>
        <v/>
      </c>
    </row>
    <row r="36" ht="17" customHeight="1">
      <c r="A36" s="38" t="n"/>
      <c r="B36" s="36" t="n"/>
      <c r="C36" s="40" t="n"/>
      <c r="D36" s="39" t="n"/>
      <c r="E36" s="39" t="n"/>
      <c r="F36" s="77">
        <f>IF(TRIM(A36)="","",SUMIF('レシピ'!$A$5:$A$604,A36,'レシピ'!$F$5:$F$604))</f>
        <v/>
      </c>
      <c r="G36" s="78">
        <f>IF(OR(TRIM(A36)="",N(K36)=0),"",IF(COUNTIFS('レシピ'!$A$5:$A$604,A36,'レシピ'!$F$5:$F$604,"&gt;=0")&lt;K36,"",F36/IF(ISNUMBER(D36),IF(D36&gt;0,D36,1),1)))</f>
        <v/>
      </c>
      <c r="H36" s="46">
        <f>IF(G36="","",IF(ISNUMBER(C36),IF(C36&gt;0,G36/C36,"－"),"－"))</f>
        <v/>
      </c>
      <c r="I36" s="77">
        <f>IF(OR(G36="",NOT(ISNUMBER(C36))),"",C36-G36)</f>
        <v/>
      </c>
      <c r="J36" s="54">
        <f>IF(NOT(ISNUMBER(H36)),"",IF(NOT(ISNUMBER('設定'!$B$8)),"",IF('設定'!$B$8&lt;=0,"",IF(H36&gt;'設定'!$B$8,"目標超え","目標内"))))</f>
        <v/>
      </c>
      <c r="K36" s="79">
        <f>IF(TRIM(A36)="","",COUNTIF('レシピ'!$A$5:$A$604,A36))</f>
        <v/>
      </c>
      <c r="L36" s="31">
        <f>IF(AND(ISNUMBER(C36),ISNUMBER(E36)),C36*E36,"")</f>
        <v/>
      </c>
      <c r="M36" s="31">
        <f>IF(AND(ISNUMBER(G36),ISNUMBER(E36)),G36*E36,"")</f>
        <v/>
      </c>
      <c r="N36" s="33" t="n"/>
      <c r="O36" s="34">
        <f>IF(TRIM(A36)="",IF(COUNTA(B36:E36,N36)&gt;0,"メニュー名がありません",""),IF(COUNTIF($A$8:$A$107,A36)&gt;1,"同じメニュー名があります",IF(N(K36)=0,"レシピに材料がありません",IF(COUNTIFS('レシピ'!$A$5:$A$604,A36,'レシピ'!$F$5:$F$604,"&gt;=0")&lt;K36,"レシピに原価の出ない行があります（レシピの確認の列）",IF(NOT(ISNUMBER(C36)),"売価がありません","")))))</f>
        <v/>
      </c>
    </row>
    <row r="37" ht="17" customHeight="1">
      <c r="A37" s="38" t="n"/>
      <c r="B37" s="36" t="n"/>
      <c r="C37" s="40" t="n"/>
      <c r="D37" s="39" t="n"/>
      <c r="E37" s="39" t="n"/>
      <c r="F37" s="77">
        <f>IF(TRIM(A37)="","",SUMIF('レシピ'!$A$5:$A$604,A37,'レシピ'!$F$5:$F$604))</f>
        <v/>
      </c>
      <c r="G37" s="78">
        <f>IF(OR(TRIM(A37)="",N(K37)=0),"",IF(COUNTIFS('レシピ'!$A$5:$A$604,A37,'レシピ'!$F$5:$F$604,"&gt;=0")&lt;K37,"",F37/IF(ISNUMBER(D37),IF(D37&gt;0,D37,1),1)))</f>
        <v/>
      </c>
      <c r="H37" s="46">
        <f>IF(G37="","",IF(ISNUMBER(C37),IF(C37&gt;0,G37/C37,"－"),"－"))</f>
        <v/>
      </c>
      <c r="I37" s="77">
        <f>IF(OR(G37="",NOT(ISNUMBER(C37))),"",C37-G37)</f>
        <v/>
      </c>
      <c r="J37" s="54">
        <f>IF(NOT(ISNUMBER(H37)),"",IF(NOT(ISNUMBER('設定'!$B$8)),"",IF('設定'!$B$8&lt;=0,"",IF(H37&gt;'設定'!$B$8,"目標超え","目標内"))))</f>
        <v/>
      </c>
      <c r="K37" s="79">
        <f>IF(TRIM(A37)="","",COUNTIF('レシピ'!$A$5:$A$604,A37))</f>
        <v/>
      </c>
      <c r="L37" s="31">
        <f>IF(AND(ISNUMBER(C37),ISNUMBER(E37)),C37*E37,"")</f>
        <v/>
      </c>
      <c r="M37" s="31">
        <f>IF(AND(ISNUMBER(G37),ISNUMBER(E37)),G37*E37,"")</f>
        <v/>
      </c>
      <c r="N37" s="33" t="n"/>
      <c r="O37" s="34">
        <f>IF(TRIM(A37)="",IF(COUNTA(B37:E37,N37)&gt;0,"メニュー名がありません",""),IF(COUNTIF($A$8:$A$107,A37)&gt;1,"同じメニュー名があります",IF(N(K37)=0,"レシピに材料がありません",IF(COUNTIFS('レシピ'!$A$5:$A$604,A37,'レシピ'!$F$5:$F$604,"&gt;=0")&lt;K37,"レシピに原価の出ない行があります（レシピの確認の列）",IF(NOT(ISNUMBER(C37)),"売価がありません","")))))</f>
        <v/>
      </c>
    </row>
    <row r="38" ht="17" customHeight="1">
      <c r="A38" s="38" t="n"/>
      <c r="B38" s="36" t="n"/>
      <c r="C38" s="40" t="n"/>
      <c r="D38" s="39" t="n"/>
      <c r="E38" s="39" t="n"/>
      <c r="F38" s="77">
        <f>IF(TRIM(A38)="","",SUMIF('レシピ'!$A$5:$A$604,A38,'レシピ'!$F$5:$F$604))</f>
        <v/>
      </c>
      <c r="G38" s="78">
        <f>IF(OR(TRIM(A38)="",N(K38)=0),"",IF(COUNTIFS('レシピ'!$A$5:$A$604,A38,'レシピ'!$F$5:$F$604,"&gt;=0")&lt;K38,"",F38/IF(ISNUMBER(D38),IF(D38&gt;0,D38,1),1)))</f>
        <v/>
      </c>
      <c r="H38" s="46">
        <f>IF(G38="","",IF(ISNUMBER(C38),IF(C38&gt;0,G38/C38,"－"),"－"))</f>
        <v/>
      </c>
      <c r="I38" s="77">
        <f>IF(OR(G38="",NOT(ISNUMBER(C38))),"",C38-G38)</f>
        <v/>
      </c>
      <c r="J38" s="54">
        <f>IF(NOT(ISNUMBER(H38)),"",IF(NOT(ISNUMBER('設定'!$B$8)),"",IF('設定'!$B$8&lt;=0,"",IF(H38&gt;'設定'!$B$8,"目標超え","目標内"))))</f>
        <v/>
      </c>
      <c r="K38" s="79">
        <f>IF(TRIM(A38)="","",COUNTIF('レシピ'!$A$5:$A$604,A38))</f>
        <v/>
      </c>
      <c r="L38" s="31">
        <f>IF(AND(ISNUMBER(C38),ISNUMBER(E38)),C38*E38,"")</f>
        <v/>
      </c>
      <c r="M38" s="31">
        <f>IF(AND(ISNUMBER(G38),ISNUMBER(E38)),G38*E38,"")</f>
        <v/>
      </c>
      <c r="N38" s="33" t="n"/>
      <c r="O38" s="34">
        <f>IF(TRIM(A38)="",IF(COUNTA(B38:E38,N38)&gt;0,"メニュー名がありません",""),IF(COUNTIF($A$8:$A$107,A38)&gt;1,"同じメニュー名があります",IF(N(K38)=0,"レシピに材料がありません",IF(COUNTIFS('レシピ'!$A$5:$A$604,A38,'レシピ'!$F$5:$F$604,"&gt;=0")&lt;K38,"レシピに原価の出ない行があります（レシピの確認の列）",IF(NOT(ISNUMBER(C38)),"売価がありません","")))))</f>
        <v/>
      </c>
    </row>
    <row r="39" ht="17" customHeight="1">
      <c r="A39" s="38" t="n"/>
      <c r="B39" s="36" t="n"/>
      <c r="C39" s="40" t="n"/>
      <c r="D39" s="39" t="n"/>
      <c r="E39" s="39" t="n"/>
      <c r="F39" s="77">
        <f>IF(TRIM(A39)="","",SUMIF('レシピ'!$A$5:$A$604,A39,'レシピ'!$F$5:$F$604))</f>
        <v/>
      </c>
      <c r="G39" s="78">
        <f>IF(OR(TRIM(A39)="",N(K39)=0),"",IF(COUNTIFS('レシピ'!$A$5:$A$604,A39,'レシピ'!$F$5:$F$604,"&gt;=0")&lt;K39,"",F39/IF(ISNUMBER(D39),IF(D39&gt;0,D39,1),1)))</f>
        <v/>
      </c>
      <c r="H39" s="46">
        <f>IF(G39="","",IF(ISNUMBER(C39),IF(C39&gt;0,G39/C39,"－"),"－"))</f>
        <v/>
      </c>
      <c r="I39" s="77">
        <f>IF(OR(G39="",NOT(ISNUMBER(C39))),"",C39-G39)</f>
        <v/>
      </c>
      <c r="J39" s="54">
        <f>IF(NOT(ISNUMBER(H39)),"",IF(NOT(ISNUMBER('設定'!$B$8)),"",IF('設定'!$B$8&lt;=0,"",IF(H39&gt;'設定'!$B$8,"目標超え","目標内"))))</f>
        <v/>
      </c>
      <c r="K39" s="79">
        <f>IF(TRIM(A39)="","",COUNTIF('レシピ'!$A$5:$A$604,A39))</f>
        <v/>
      </c>
      <c r="L39" s="31">
        <f>IF(AND(ISNUMBER(C39),ISNUMBER(E39)),C39*E39,"")</f>
        <v/>
      </c>
      <c r="M39" s="31">
        <f>IF(AND(ISNUMBER(G39),ISNUMBER(E39)),G39*E39,"")</f>
        <v/>
      </c>
      <c r="N39" s="33" t="n"/>
      <c r="O39" s="34">
        <f>IF(TRIM(A39)="",IF(COUNTA(B39:E39,N39)&gt;0,"メニュー名がありません",""),IF(COUNTIF($A$8:$A$107,A39)&gt;1,"同じメニュー名があります",IF(N(K39)=0,"レシピに材料がありません",IF(COUNTIFS('レシピ'!$A$5:$A$604,A39,'レシピ'!$F$5:$F$604,"&gt;=0")&lt;K39,"レシピに原価の出ない行があります（レシピの確認の列）",IF(NOT(ISNUMBER(C39)),"売価がありません","")))))</f>
        <v/>
      </c>
    </row>
    <row r="40" ht="17" customHeight="1">
      <c r="A40" s="38" t="n"/>
      <c r="B40" s="36" t="n"/>
      <c r="C40" s="40" t="n"/>
      <c r="D40" s="39" t="n"/>
      <c r="E40" s="39" t="n"/>
      <c r="F40" s="77">
        <f>IF(TRIM(A40)="","",SUMIF('レシピ'!$A$5:$A$604,A40,'レシピ'!$F$5:$F$604))</f>
        <v/>
      </c>
      <c r="G40" s="78">
        <f>IF(OR(TRIM(A40)="",N(K40)=0),"",IF(COUNTIFS('レシピ'!$A$5:$A$604,A40,'レシピ'!$F$5:$F$604,"&gt;=0")&lt;K40,"",F40/IF(ISNUMBER(D40),IF(D40&gt;0,D40,1),1)))</f>
        <v/>
      </c>
      <c r="H40" s="46">
        <f>IF(G40="","",IF(ISNUMBER(C40),IF(C40&gt;0,G40/C40,"－"),"－"))</f>
        <v/>
      </c>
      <c r="I40" s="77">
        <f>IF(OR(G40="",NOT(ISNUMBER(C40))),"",C40-G40)</f>
        <v/>
      </c>
      <c r="J40" s="54">
        <f>IF(NOT(ISNUMBER(H40)),"",IF(NOT(ISNUMBER('設定'!$B$8)),"",IF('設定'!$B$8&lt;=0,"",IF(H40&gt;'設定'!$B$8,"目標超え","目標内"))))</f>
        <v/>
      </c>
      <c r="K40" s="79">
        <f>IF(TRIM(A40)="","",COUNTIF('レシピ'!$A$5:$A$604,A40))</f>
        <v/>
      </c>
      <c r="L40" s="31">
        <f>IF(AND(ISNUMBER(C40),ISNUMBER(E40)),C40*E40,"")</f>
        <v/>
      </c>
      <c r="M40" s="31">
        <f>IF(AND(ISNUMBER(G40),ISNUMBER(E40)),G40*E40,"")</f>
        <v/>
      </c>
      <c r="N40" s="33" t="n"/>
      <c r="O40" s="34">
        <f>IF(TRIM(A40)="",IF(COUNTA(B40:E40,N40)&gt;0,"メニュー名がありません",""),IF(COUNTIF($A$8:$A$107,A40)&gt;1,"同じメニュー名があります",IF(N(K40)=0,"レシピに材料がありません",IF(COUNTIFS('レシピ'!$A$5:$A$604,A40,'レシピ'!$F$5:$F$604,"&gt;=0")&lt;K40,"レシピに原価の出ない行があります（レシピの確認の列）",IF(NOT(ISNUMBER(C40)),"売価がありません","")))))</f>
        <v/>
      </c>
    </row>
    <row r="41" ht="17" customHeight="1">
      <c r="A41" s="38" t="n"/>
      <c r="B41" s="36" t="n"/>
      <c r="C41" s="40" t="n"/>
      <c r="D41" s="39" t="n"/>
      <c r="E41" s="39" t="n"/>
      <c r="F41" s="77">
        <f>IF(TRIM(A41)="","",SUMIF('レシピ'!$A$5:$A$604,A41,'レシピ'!$F$5:$F$604))</f>
        <v/>
      </c>
      <c r="G41" s="78">
        <f>IF(OR(TRIM(A41)="",N(K41)=0),"",IF(COUNTIFS('レシピ'!$A$5:$A$604,A41,'レシピ'!$F$5:$F$604,"&gt;=0")&lt;K41,"",F41/IF(ISNUMBER(D41),IF(D41&gt;0,D41,1),1)))</f>
        <v/>
      </c>
      <c r="H41" s="46">
        <f>IF(G41="","",IF(ISNUMBER(C41),IF(C41&gt;0,G41/C41,"－"),"－"))</f>
        <v/>
      </c>
      <c r="I41" s="77">
        <f>IF(OR(G41="",NOT(ISNUMBER(C41))),"",C41-G41)</f>
        <v/>
      </c>
      <c r="J41" s="54">
        <f>IF(NOT(ISNUMBER(H41)),"",IF(NOT(ISNUMBER('設定'!$B$8)),"",IF('設定'!$B$8&lt;=0,"",IF(H41&gt;'設定'!$B$8,"目標超え","目標内"))))</f>
        <v/>
      </c>
      <c r="K41" s="79">
        <f>IF(TRIM(A41)="","",COUNTIF('レシピ'!$A$5:$A$604,A41))</f>
        <v/>
      </c>
      <c r="L41" s="31">
        <f>IF(AND(ISNUMBER(C41),ISNUMBER(E41)),C41*E41,"")</f>
        <v/>
      </c>
      <c r="M41" s="31">
        <f>IF(AND(ISNUMBER(G41),ISNUMBER(E41)),G41*E41,"")</f>
        <v/>
      </c>
      <c r="N41" s="33" t="n"/>
      <c r="O41" s="34">
        <f>IF(TRIM(A41)="",IF(COUNTA(B41:E41,N41)&gt;0,"メニュー名がありません",""),IF(COUNTIF($A$8:$A$107,A41)&gt;1,"同じメニュー名があります",IF(N(K41)=0,"レシピに材料がありません",IF(COUNTIFS('レシピ'!$A$5:$A$604,A41,'レシピ'!$F$5:$F$604,"&gt;=0")&lt;K41,"レシピに原価の出ない行があります（レシピの確認の列）",IF(NOT(ISNUMBER(C41)),"売価がありません","")))))</f>
        <v/>
      </c>
    </row>
    <row r="42" ht="17" customHeight="1">
      <c r="A42" s="38" t="n"/>
      <c r="B42" s="36" t="n"/>
      <c r="C42" s="40" t="n"/>
      <c r="D42" s="39" t="n"/>
      <c r="E42" s="39" t="n"/>
      <c r="F42" s="77">
        <f>IF(TRIM(A42)="","",SUMIF('レシピ'!$A$5:$A$604,A42,'レシピ'!$F$5:$F$604))</f>
        <v/>
      </c>
      <c r="G42" s="78">
        <f>IF(OR(TRIM(A42)="",N(K42)=0),"",IF(COUNTIFS('レシピ'!$A$5:$A$604,A42,'レシピ'!$F$5:$F$604,"&gt;=0")&lt;K42,"",F42/IF(ISNUMBER(D42),IF(D42&gt;0,D42,1),1)))</f>
        <v/>
      </c>
      <c r="H42" s="46">
        <f>IF(G42="","",IF(ISNUMBER(C42),IF(C42&gt;0,G42/C42,"－"),"－"))</f>
        <v/>
      </c>
      <c r="I42" s="77">
        <f>IF(OR(G42="",NOT(ISNUMBER(C42))),"",C42-G42)</f>
        <v/>
      </c>
      <c r="J42" s="54">
        <f>IF(NOT(ISNUMBER(H42)),"",IF(NOT(ISNUMBER('設定'!$B$8)),"",IF('設定'!$B$8&lt;=0,"",IF(H42&gt;'設定'!$B$8,"目標超え","目標内"))))</f>
        <v/>
      </c>
      <c r="K42" s="79">
        <f>IF(TRIM(A42)="","",COUNTIF('レシピ'!$A$5:$A$604,A42))</f>
        <v/>
      </c>
      <c r="L42" s="31">
        <f>IF(AND(ISNUMBER(C42),ISNUMBER(E42)),C42*E42,"")</f>
        <v/>
      </c>
      <c r="M42" s="31">
        <f>IF(AND(ISNUMBER(G42),ISNUMBER(E42)),G42*E42,"")</f>
        <v/>
      </c>
      <c r="N42" s="33" t="n"/>
      <c r="O42" s="34">
        <f>IF(TRIM(A42)="",IF(COUNTA(B42:E42,N42)&gt;0,"メニュー名がありません",""),IF(COUNTIF($A$8:$A$107,A42)&gt;1,"同じメニュー名があります",IF(N(K42)=0,"レシピに材料がありません",IF(COUNTIFS('レシピ'!$A$5:$A$604,A42,'レシピ'!$F$5:$F$604,"&gt;=0")&lt;K42,"レシピに原価の出ない行があります（レシピの確認の列）",IF(NOT(ISNUMBER(C42)),"売価がありません","")))))</f>
        <v/>
      </c>
    </row>
    <row r="43" ht="17" customHeight="1">
      <c r="A43" s="38" t="n"/>
      <c r="B43" s="36" t="n"/>
      <c r="C43" s="40" t="n"/>
      <c r="D43" s="39" t="n"/>
      <c r="E43" s="39" t="n"/>
      <c r="F43" s="77">
        <f>IF(TRIM(A43)="","",SUMIF('レシピ'!$A$5:$A$604,A43,'レシピ'!$F$5:$F$604))</f>
        <v/>
      </c>
      <c r="G43" s="78">
        <f>IF(OR(TRIM(A43)="",N(K43)=0),"",IF(COUNTIFS('レシピ'!$A$5:$A$604,A43,'レシピ'!$F$5:$F$604,"&gt;=0")&lt;K43,"",F43/IF(ISNUMBER(D43),IF(D43&gt;0,D43,1),1)))</f>
        <v/>
      </c>
      <c r="H43" s="46">
        <f>IF(G43="","",IF(ISNUMBER(C43),IF(C43&gt;0,G43/C43,"－"),"－"))</f>
        <v/>
      </c>
      <c r="I43" s="77">
        <f>IF(OR(G43="",NOT(ISNUMBER(C43))),"",C43-G43)</f>
        <v/>
      </c>
      <c r="J43" s="54">
        <f>IF(NOT(ISNUMBER(H43)),"",IF(NOT(ISNUMBER('設定'!$B$8)),"",IF('設定'!$B$8&lt;=0,"",IF(H43&gt;'設定'!$B$8,"目標超え","目標内"))))</f>
        <v/>
      </c>
      <c r="K43" s="79">
        <f>IF(TRIM(A43)="","",COUNTIF('レシピ'!$A$5:$A$604,A43))</f>
        <v/>
      </c>
      <c r="L43" s="31">
        <f>IF(AND(ISNUMBER(C43),ISNUMBER(E43)),C43*E43,"")</f>
        <v/>
      </c>
      <c r="M43" s="31">
        <f>IF(AND(ISNUMBER(G43),ISNUMBER(E43)),G43*E43,"")</f>
        <v/>
      </c>
      <c r="N43" s="33" t="n"/>
      <c r="O43" s="34">
        <f>IF(TRIM(A43)="",IF(COUNTA(B43:E43,N43)&gt;0,"メニュー名がありません",""),IF(COUNTIF($A$8:$A$107,A43)&gt;1,"同じメニュー名があります",IF(N(K43)=0,"レシピに材料がありません",IF(COUNTIFS('レシピ'!$A$5:$A$604,A43,'レシピ'!$F$5:$F$604,"&gt;=0")&lt;K43,"レシピに原価の出ない行があります（レシピの確認の列）",IF(NOT(ISNUMBER(C43)),"売価がありません","")))))</f>
        <v/>
      </c>
    </row>
    <row r="44" ht="17" customHeight="1">
      <c r="A44" s="38" t="n"/>
      <c r="B44" s="36" t="n"/>
      <c r="C44" s="40" t="n"/>
      <c r="D44" s="39" t="n"/>
      <c r="E44" s="39" t="n"/>
      <c r="F44" s="77">
        <f>IF(TRIM(A44)="","",SUMIF('レシピ'!$A$5:$A$604,A44,'レシピ'!$F$5:$F$604))</f>
        <v/>
      </c>
      <c r="G44" s="78">
        <f>IF(OR(TRIM(A44)="",N(K44)=0),"",IF(COUNTIFS('レシピ'!$A$5:$A$604,A44,'レシピ'!$F$5:$F$604,"&gt;=0")&lt;K44,"",F44/IF(ISNUMBER(D44),IF(D44&gt;0,D44,1),1)))</f>
        <v/>
      </c>
      <c r="H44" s="46">
        <f>IF(G44="","",IF(ISNUMBER(C44),IF(C44&gt;0,G44/C44,"－"),"－"))</f>
        <v/>
      </c>
      <c r="I44" s="77">
        <f>IF(OR(G44="",NOT(ISNUMBER(C44))),"",C44-G44)</f>
        <v/>
      </c>
      <c r="J44" s="54">
        <f>IF(NOT(ISNUMBER(H44)),"",IF(NOT(ISNUMBER('設定'!$B$8)),"",IF('設定'!$B$8&lt;=0,"",IF(H44&gt;'設定'!$B$8,"目標超え","目標内"))))</f>
        <v/>
      </c>
      <c r="K44" s="79">
        <f>IF(TRIM(A44)="","",COUNTIF('レシピ'!$A$5:$A$604,A44))</f>
        <v/>
      </c>
      <c r="L44" s="31">
        <f>IF(AND(ISNUMBER(C44),ISNUMBER(E44)),C44*E44,"")</f>
        <v/>
      </c>
      <c r="M44" s="31">
        <f>IF(AND(ISNUMBER(G44),ISNUMBER(E44)),G44*E44,"")</f>
        <v/>
      </c>
      <c r="N44" s="33" t="n"/>
      <c r="O44" s="34">
        <f>IF(TRIM(A44)="",IF(COUNTA(B44:E44,N44)&gt;0,"メニュー名がありません",""),IF(COUNTIF($A$8:$A$107,A44)&gt;1,"同じメニュー名があります",IF(N(K44)=0,"レシピに材料がありません",IF(COUNTIFS('レシピ'!$A$5:$A$604,A44,'レシピ'!$F$5:$F$604,"&gt;=0")&lt;K44,"レシピに原価の出ない行があります（レシピの確認の列）",IF(NOT(ISNUMBER(C44)),"売価がありません","")))))</f>
        <v/>
      </c>
    </row>
    <row r="45" ht="17" customHeight="1">
      <c r="A45" s="38" t="n"/>
      <c r="B45" s="36" t="n"/>
      <c r="C45" s="40" t="n"/>
      <c r="D45" s="39" t="n"/>
      <c r="E45" s="39" t="n"/>
      <c r="F45" s="77">
        <f>IF(TRIM(A45)="","",SUMIF('レシピ'!$A$5:$A$604,A45,'レシピ'!$F$5:$F$604))</f>
        <v/>
      </c>
      <c r="G45" s="78">
        <f>IF(OR(TRIM(A45)="",N(K45)=0),"",IF(COUNTIFS('レシピ'!$A$5:$A$604,A45,'レシピ'!$F$5:$F$604,"&gt;=0")&lt;K45,"",F45/IF(ISNUMBER(D45),IF(D45&gt;0,D45,1),1)))</f>
        <v/>
      </c>
      <c r="H45" s="46">
        <f>IF(G45="","",IF(ISNUMBER(C45),IF(C45&gt;0,G45/C45,"－"),"－"))</f>
        <v/>
      </c>
      <c r="I45" s="77">
        <f>IF(OR(G45="",NOT(ISNUMBER(C45))),"",C45-G45)</f>
        <v/>
      </c>
      <c r="J45" s="54">
        <f>IF(NOT(ISNUMBER(H45)),"",IF(NOT(ISNUMBER('設定'!$B$8)),"",IF('設定'!$B$8&lt;=0,"",IF(H45&gt;'設定'!$B$8,"目標超え","目標内"))))</f>
        <v/>
      </c>
      <c r="K45" s="79">
        <f>IF(TRIM(A45)="","",COUNTIF('レシピ'!$A$5:$A$604,A45))</f>
        <v/>
      </c>
      <c r="L45" s="31">
        <f>IF(AND(ISNUMBER(C45),ISNUMBER(E45)),C45*E45,"")</f>
        <v/>
      </c>
      <c r="M45" s="31">
        <f>IF(AND(ISNUMBER(G45),ISNUMBER(E45)),G45*E45,"")</f>
        <v/>
      </c>
      <c r="N45" s="33" t="n"/>
      <c r="O45" s="34">
        <f>IF(TRIM(A45)="",IF(COUNTA(B45:E45,N45)&gt;0,"メニュー名がありません",""),IF(COUNTIF($A$8:$A$107,A45)&gt;1,"同じメニュー名があります",IF(N(K45)=0,"レシピに材料がありません",IF(COUNTIFS('レシピ'!$A$5:$A$604,A45,'レシピ'!$F$5:$F$604,"&gt;=0")&lt;K45,"レシピに原価の出ない行があります（レシピの確認の列）",IF(NOT(ISNUMBER(C45)),"売価がありません","")))))</f>
        <v/>
      </c>
    </row>
    <row r="46" ht="17" customHeight="1">
      <c r="A46" s="38" t="n"/>
      <c r="B46" s="36" t="n"/>
      <c r="C46" s="40" t="n"/>
      <c r="D46" s="39" t="n"/>
      <c r="E46" s="39" t="n"/>
      <c r="F46" s="77">
        <f>IF(TRIM(A46)="","",SUMIF('レシピ'!$A$5:$A$604,A46,'レシピ'!$F$5:$F$604))</f>
        <v/>
      </c>
      <c r="G46" s="78">
        <f>IF(OR(TRIM(A46)="",N(K46)=0),"",IF(COUNTIFS('レシピ'!$A$5:$A$604,A46,'レシピ'!$F$5:$F$604,"&gt;=0")&lt;K46,"",F46/IF(ISNUMBER(D46),IF(D46&gt;0,D46,1),1)))</f>
        <v/>
      </c>
      <c r="H46" s="46">
        <f>IF(G46="","",IF(ISNUMBER(C46),IF(C46&gt;0,G46/C46,"－"),"－"))</f>
        <v/>
      </c>
      <c r="I46" s="77">
        <f>IF(OR(G46="",NOT(ISNUMBER(C46))),"",C46-G46)</f>
        <v/>
      </c>
      <c r="J46" s="54">
        <f>IF(NOT(ISNUMBER(H46)),"",IF(NOT(ISNUMBER('設定'!$B$8)),"",IF('設定'!$B$8&lt;=0,"",IF(H46&gt;'設定'!$B$8,"目標超え","目標内"))))</f>
        <v/>
      </c>
      <c r="K46" s="79">
        <f>IF(TRIM(A46)="","",COUNTIF('レシピ'!$A$5:$A$604,A46))</f>
        <v/>
      </c>
      <c r="L46" s="31">
        <f>IF(AND(ISNUMBER(C46),ISNUMBER(E46)),C46*E46,"")</f>
        <v/>
      </c>
      <c r="M46" s="31">
        <f>IF(AND(ISNUMBER(G46),ISNUMBER(E46)),G46*E46,"")</f>
        <v/>
      </c>
      <c r="N46" s="33" t="n"/>
      <c r="O46" s="34">
        <f>IF(TRIM(A46)="",IF(COUNTA(B46:E46,N46)&gt;0,"メニュー名がありません",""),IF(COUNTIF($A$8:$A$107,A46)&gt;1,"同じメニュー名があります",IF(N(K46)=0,"レシピに材料がありません",IF(COUNTIFS('レシピ'!$A$5:$A$604,A46,'レシピ'!$F$5:$F$604,"&gt;=0")&lt;K46,"レシピに原価の出ない行があります（レシピの確認の列）",IF(NOT(ISNUMBER(C46)),"売価がありません","")))))</f>
        <v/>
      </c>
    </row>
    <row r="47" ht="17" customHeight="1">
      <c r="A47" s="38" t="n"/>
      <c r="B47" s="36" t="n"/>
      <c r="C47" s="40" t="n"/>
      <c r="D47" s="39" t="n"/>
      <c r="E47" s="39" t="n"/>
      <c r="F47" s="77">
        <f>IF(TRIM(A47)="","",SUMIF('レシピ'!$A$5:$A$604,A47,'レシピ'!$F$5:$F$604))</f>
        <v/>
      </c>
      <c r="G47" s="78">
        <f>IF(OR(TRIM(A47)="",N(K47)=0),"",IF(COUNTIFS('レシピ'!$A$5:$A$604,A47,'レシピ'!$F$5:$F$604,"&gt;=0")&lt;K47,"",F47/IF(ISNUMBER(D47),IF(D47&gt;0,D47,1),1)))</f>
        <v/>
      </c>
      <c r="H47" s="46">
        <f>IF(G47="","",IF(ISNUMBER(C47),IF(C47&gt;0,G47/C47,"－"),"－"))</f>
        <v/>
      </c>
      <c r="I47" s="77">
        <f>IF(OR(G47="",NOT(ISNUMBER(C47))),"",C47-G47)</f>
        <v/>
      </c>
      <c r="J47" s="54">
        <f>IF(NOT(ISNUMBER(H47)),"",IF(NOT(ISNUMBER('設定'!$B$8)),"",IF('設定'!$B$8&lt;=0,"",IF(H47&gt;'設定'!$B$8,"目標超え","目標内"))))</f>
        <v/>
      </c>
      <c r="K47" s="79">
        <f>IF(TRIM(A47)="","",COUNTIF('レシピ'!$A$5:$A$604,A47))</f>
        <v/>
      </c>
      <c r="L47" s="31">
        <f>IF(AND(ISNUMBER(C47),ISNUMBER(E47)),C47*E47,"")</f>
        <v/>
      </c>
      <c r="M47" s="31">
        <f>IF(AND(ISNUMBER(G47),ISNUMBER(E47)),G47*E47,"")</f>
        <v/>
      </c>
      <c r="N47" s="33" t="n"/>
      <c r="O47" s="34">
        <f>IF(TRIM(A47)="",IF(COUNTA(B47:E47,N47)&gt;0,"メニュー名がありません",""),IF(COUNTIF($A$8:$A$107,A47)&gt;1,"同じメニュー名があります",IF(N(K47)=0,"レシピに材料がありません",IF(COUNTIFS('レシピ'!$A$5:$A$604,A47,'レシピ'!$F$5:$F$604,"&gt;=0")&lt;K47,"レシピに原価の出ない行があります（レシピの確認の列）",IF(NOT(ISNUMBER(C47)),"売価がありません","")))))</f>
        <v/>
      </c>
    </row>
    <row r="48" ht="17" customHeight="1">
      <c r="A48" s="38" t="n"/>
      <c r="B48" s="36" t="n"/>
      <c r="C48" s="40" t="n"/>
      <c r="D48" s="39" t="n"/>
      <c r="E48" s="39" t="n"/>
      <c r="F48" s="77">
        <f>IF(TRIM(A48)="","",SUMIF('レシピ'!$A$5:$A$604,A48,'レシピ'!$F$5:$F$604))</f>
        <v/>
      </c>
      <c r="G48" s="78">
        <f>IF(OR(TRIM(A48)="",N(K48)=0),"",IF(COUNTIFS('レシピ'!$A$5:$A$604,A48,'レシピ'!$F$5:$F$604,"&gt;=0")&lt;K48,"",F48/IF(ISNUMBER(D48),IF(D48&gt;0,D48,1),1)))</f>
        <v/>
      </c>
      <c r="H48" s="46">
        <f>IF(G48="","",IF(ISNUMBER(C48),IF(C48&gt;0,G48/C48,"－"),"－"))</f>
        <v/>
      </c>
      <c r="I48" s="77">
        <f>IF(OR(G48="",NOT(ISNUMBER(C48))),"",C48-G48)</f>
        <v/>
      </c>
      <c r="J48" s="54">
        <f>IF(NOT(ISNUMBER(H48)),"",IF(NOT(ISNUMBER('設定'!$B$8)),"",IF('設定'!$B$8&lt;=0,"",IF(H48&gt;'設定'!$B$8,"目標超え","目標内"))))</f>
        <v/>
      </c>
      <c r="K48" s="79">
        <f>IF(TRIM(A48)="","",COUNTIF('レシピ'!$A$5:$A$604,A48))</f>
        <v/>
      </c>
      <c r="L48" s="31">
        <f>IF(AND(ISNUMBER(C48),ISNUMBER(E48)),C48*E48,"")</f>
        <v/>
      </c>
      <c r="M48" s="31">
        <f>IF(AND(ISNUMBER(G48),ISNUMBER(E48)),G48*E48,"")</f>
        <v/>
      </c>
      <c r="N48" s="33" t="n"/>
      <c r="O48" s="34">
        <f>IF(TRIM(A48)="",IF(COUNTA(B48:E48,N48)&gt;0,"メニュー名がありません",""),IF(COUNTIF($A$8:$A$107,A48)&gt;1,"同じメニュー名があります",IF(N(K48)=0,"レシピに材料がありません",IF(COUNTIFS('レシピ'!$A$5:$A$604,A48,'レシピ'!$F$5:$F$604,"&gt;=0")&lt;K48,"レシピに原価の出ない行があります（レシピの確認の列）",IF(NOT(ISNUMBER(C48)),"売価がありません","")))))</f>
        <v/>
      </c>
    </row>
    <row r="49" ht="17" customHeight="1">
      <c r="A49" s="38" t="n"/>
      <c r="B49" s="36" t="n"/>
      <c r="C49" s="40" t="n"/>
      <c r="D49" s="39" t="n"/>
      <c r="E49" s="39" t="n"/>
      <c r="F49" s="77">
        <f>IF(TRIM(A49)="","",SUMIF('レシピ'!$A$5:$A$604,A49,'レシピ'!$F$5:$F$604))</f>
        <v/>
      </c>
      <c r="G49" s="78">
        <f>IF(OR(TRIM(A49)="",N(K49)=0),"",IF(COUNTIFS('レシピ'!$A$5:$A$604,A49,'レシピ'!$F$5:$F$604,"&gt;=0")&lt;K49,"",F49/IF(ISNUMBER(D49),IF(D49&gt;0,D49,1),1)))</f>
        <v/>
      </c>
      <c r="H49" s="46">
        <f>IF(G49="","",IF(ISNUMBER(C49),IF(C49&gt;0,G49/C49,"－"),"－"))</f>
        <v/>
      </c>
      <c r="I49" s="77">
        <f>IF(OR(G49="",NOT(ISNUMBER(C49))),"",C49-G49)</f>
        <v/>
      </c>
      <c r="J49" s="54">
        <f>IF(NOT(ISNUMBER(H49)),"",IF(NOT(ISNUMBER('設定'!$B$8)),"",IF('設定'!$B$8&lt;=0,"",IF(H49&gt;'設定'!$B$8,"目標超え","目標内"))))</f>
        <v/>
      </c>
      <c r="K49" s="79">
        <f>IF(TRIM(A49)="","",COUNTIF('レシピ'!$A$5:$A$604,A49))</f>
        <v/>
      </c>
      <c r="L49" s="31">
        <f>IF(AND(ISNUMBER(C49),ISNUMBER(E49)),C49*E49,"")</f>
        <v/>
      </c>
      <c r="M49" s="31">
        <f>IF(AND(ISNUMBER(G49),ISNUMBER(E49)),G49*E49,"")</f>
        <v/>
      </c>
      <c r="N49" s="33" t="n"/>
      <c r="O49" s="34">
        <f>IF(TRIM(A49)="",IF(COUNTA(B49:E49,N49)&gt;0,"メニュー名がありません",""),IF(COUNTIF($A$8:$A$107,A49)&gt;1,"同じメニュー名があります",IF(N(K49)=0,"レシピに材料がありません",IF(COUNTIFS('レシピ'!$A$5:$A$604,A49,'レシピ'!$F$5:$F$604,"&gt;=0")&lt;K49,"レシピに原価の出ない行があります（レシピの確認の列）",IF(NOT(ISNUMBER(C49)),"売価がありません","")))))</f>
        <v/>
      </c>
    </row>
    <row r="50" ht="17" customHeight="1">
      <c r="A50" s="38" t="n"/>
      <c r="B50" s="36" t="n"/>
      <c r="C50" s="40" t="n"/>
      <c r="D50" s="39" t="n"/>
      <c r="E50" s="39" t="n"/>
      <c r="F50" s="77">
        <f>IF(TRIM(A50)="","",SUMIF('レシピ'!$A$5:$A$604,A50,'レシピ'!$F$5:$F$604))</f>
        <v/>
      </c>
      <c r="G50" s="78">
        <f>IF(OR(TRIM(A50)="",N(K50)=0),"",IF(COUNTIFS('レシピ'!$A$5:$A$604,A50,'レシピ'!$F$5:$F$604,"&gt;=0")&lt;K50,"",F50/IF(ISNUMBER(D50),IF(D50&gt;0,D50,1),1)))</f>
        <v/>
      </c>
      <c r="H50" s="46">
        <f>IF(G50="","",IF(ISNUMBER(C50),IF(C50&gt;0,G50/C50,"－"),"－"))</f>
        <v/>
      </c>
      <c r="I50" s="77">
        <f>IF(OR(G50="",NOT(ISNUMBER(C50))),"",C50-G50)</f>
        <v/>
      </c>
      <c r="J50" s="54">
        <f>IF(NOT(ISNUMBER(H50)),"",IF(NOT(ISNUMBER('設定'!$B$8)),"",IF('設定'!$B$8&lt;=0,"",IF(H50&gt;'設定'!$B$8,"目標超え","目標内"))))</f>
        <v/>
      </c>
      <c r="K50" s="79">
        <f>IF(TRIM(A50)="","",COUNTIF('レシピ'!$A$5:$A$604,A50))</f>
        <v/>
      </c>
      <c r="L50" s="31">
        <f>IF(AND(ISNUMBER(C50),ISNUMBER(E50)),C50*E50,"")</f>
        <v/>
      </c>
      <c r="M50" s="31">
        <f>IF(AND(ISNUMBER(G50),ISNUMBER(E50)),G50*E50,"")</f>
        <v/>
      </c>
      <c r="N50" s="33" t="n"/>
      <c r="O50" s="34">
        <f>IF(TRIM(A50)="",IF(COUNTA(B50:E50,N50)&gt;0,"メニュー名がありません",""),IF(COUNTIF($A$8:$A$107,A50)&gt;1,"同じメニュー名があります",IF(N(K50)=0,"レシピに材料がありません",IF(COUNTIFS('レシピ'!$A$5:$A$604,A50,'レシピ'!$F$5:$F$604,"&gt;=0")&lt;K50,"レシピに原価の出ない行があります（レシピの確認の列）",IF(NOT(ISNUMBER(C50)),"売価がありません","")))))</f>
        <v/>
      </c>
    </row>
    <row r="51" ht="17" customHeight="1">
      <c r="A51" s="38" t="n"/>
      <c r="B51" s="36" t="n"/>
      <c r="C51" s="40" t="n"/>
      <c r="D51" s="39" t="n"/>
      <c r="E51" s="39" t="n"/>
      <c r="F51" s="77">
        <f>IF(TRIM(A51)="","",SUMIF('レシピ'!$A$5:$A$604,A51,'レシピ'!$F$5:$F$604))</f>
        <v/>
      </c>
      <c r="G51" s="78">
        <f>IF(OR(TRIM(A51)="",N(K51)=0),"",IF(COUNTIFS('レシピ'!$A$5:$A$604,A51,'レシピ'!$F$5:$F$604,"&gt;=0")&lt;K51,"",F51/IF(ISNUMBER(D51),IF(D51&gt;0,D51,1),1)))</f>
        <v/>
      </c>
      <c r="H51" s="46">
        <f>IF(G51="","",IF(ISNUMBER(C51),IF(C51&gt;0,G51/C51,"－"),"－"))</f>
        <v/>
      </c>
      <c r="I51" s="77">
        <f>IF(OR(G51="",NOT(ISNUMBER(C51))),"",C51-G51)</f>
        <v/>
      </c>
      <c r="J51" s="54">
        <f>IF(NOT(ISNUMBER(H51)),"",IF(NOT(ISNUMBER('設定'!$B$8)),"",IF('設定'!$B$8&lt;=0,"",IF(H51&gt;'設定'!$B$8,"目標超え","目標内"))))</f>
        <v/>
      </c>
      <c r="K51" s="79">
        <f>IF(TRIM(A51)="","",COUNTIF('レシピ'!$A$5:$A$604,A51))</f>
        <v/>
      </c>
      <c r="L51" s="31">
        <f>IF(AND(ISNUMBER(C51),ISNUMBER(E51)),C51*E51,"")</f>
        <v/>
      </c>
      <c r="M51" s="31">
        <f>IF(AND(ISNUMBER(G51),ISNUMBER(E51)),G51*E51,"")</f>
        <v/>
      </c>
      <c r="N51" s="33" t="n"/>
      <c r="O51" s="34">
        <f>IF(TRIM(A51)="",IF(COUNTA(B51:E51,N51)&gt;0,"メニュー名がありません",""),IF(COUNTIF($A$8:$A$107,A51)&gt;1,"同じメニュー名があります",IF(N(K51)=0,"レシピに材料がありません",IF(COUNTIFS('レシピ'!$A$5:$A$604,A51,'レシピ'!$F$5:$F$604,"&gt;=0")&lt;K51,"レシピに原価の出ない行があります（レシピの確認の列）",IF(NOT(ISNUMBER(C51)),"売価がありません","")))))</f>
        <v/>
      </c>
    </row>
    <row r="52" ht="17" customHeight="1">
      <c r="A52" s="38" t="n"/>
      <c r="B52" s="36" t="n"/>
      <c r="C52" s="40" t="n"/>
      <c r="D52" s="39" t="n"/>
      <c r="E52" s="39" t="n"/>
      <c r="F52" s="77">
        <f>IF(TRIM(A52)="","",SUMIF('レシピ'!$A$5:$A$604,A52,'レシピ'!$F$5:$F$604))</f>
        <v/>
      </c>
      <c r="G52" s="78">
        <f>IF(OR(TRIM(A52)="",N(K52)=0),"",IF(COUNTIFS('レシピ'!$A$5:$A$604,A52,'レシピ'!$F$5:$F$604,"&gt;=0")&lt;K52,"",F52/IF(ISNUMBER(D52),IF(D52&gt;0,D52,1),1)))</f>
        <v/>
      </c>
      <c r="H52" s="46">
        <f>IF(G52="","",IF(ISNUMBER(C52),IF(C52&gt;0,G52/C52,"－"),"－"))</f>
        <v/>
      </c>
      <c r="I52" s="77">
        <f>IF(OR(G52="",NOT(ISNUMBER(C52))),"",C52-G52)</f>
        <v/>
      </c>
      <c r="J52" s="54">
        <f>IF(NOT(ISNUMBER(H52)),"",IF(NOT(ISNUMBER('設定'!$B$8)),"",IF('設定'!$B$8&lt;=0,"",IF(H52&gt;'設定'!$B$8,"目標超え","目標内"))))</f>
        <v/>
      </c>
      <c r="K52" s="79">
        <f>IF(TRIM(A52)="","",COUNTIF('レシピ'!$A$5:$A$604,A52))</f>
        <v/>
      </c>
      <c r="L52" s="31">
        <f>IF(AND(ISNUMBER(C52),ISNUMBER(E52)),C52*E52,"")</f>
        <v/>
      </c>
      <c r="M52" s="31">
        <f>IF(AND(ISNUMBER(G52),ISNUMBER(E52)),G52*E52,"")</f>
        <v/>
      </c>
      <c r="N52" s="33" t="n"/>
      <c r="O52" s="34">
        <f>IF(TRIM(A52)="",IF(COUNTA(B52:E52,N52)&gt;0,"メニュー名がありません",""),IF(COUNTIF($A$8:$A$107,A52)&gt;1,"同じメニュー名があります",IF(N(K52)=0,"レシピに材料がありません",IF(COUNTIFS('レシピ'!$A$5:$A$604,A52,'レシピ'!$F$5:$F$604,"&gt;=0")&lt;K52,"レシピに原価の出ない行があります（レシピの確認の列）",IF(NOT(ISNUMBER(C52)),"売価がありません","")))))</f>
        <v/>
      </c>
    </row>
    <row r="53" ht="17" customHeight="1">
      <c r="A53" s="38" t="n"/>
      <c r="B53" s="36" t="n"/>
      <c r="C53" s="40" t="n"/>
      <c r="D53" s="39" t="n"/>
      <c r="E53" s="39" t="n"/>
      <c r="F53" s="77">
        <f>IF(TRIM(A53)="","",SUMIF('レシピ'!$A$5:$A$604,A53,'レシピ'!$F$5:$F$604))</f>
        <v/>
      </c>
      <c r="G53" s="78">
        <f>IF(OR(TRIM(A53)="",N(K53)=0),"",IF(COUNTIFS('レシピ'!$A$5:$A$604,A53,'レシピ'!$F$5:$F$604,"&gt;=0")&lt;K53,"",F53/IF(ISNUMBER(D53),IF(D53&gt;0,D53,1),1)))</f>
        <v/>
      </c>
      <c r="H53" s="46">
        <f>IF(G53="","",IF(ISNUMBER(C53),IF(C53&gt;0,G53/C53,"－"),"－"))</f>
        <v/>
      </c>
      <c r="I53" s="77">
        <f>IF(OR(G53="",NOT(ISNUMBER(C53))),"",C53-G53)</f>
        <v/>
      </c>
      <c r="J53" s="54">
        <f>IF(NOT(ISNUMBER(H53)),"",IF(NOT(ISNUMBER('設定'!$B$8)),"",IF('設定'!$B$8&lt;=0,"",IF(H53&gt;'設定'!$B$8,"目標超え","目標内"))))</f>
        <v/>
      </c>
      <c r="K53" s="79">
        <f>IF(TRIM(A53)="","",COUNTIF('レシピ'!$A$5:$A$604,A53))</f>
        <v/>
      </c>
      <c r="L53" s="31">
        <f>IF(AND(ISNUMBER(C53),ISNUMBER(E53)),C53*E53,"")</f>
        <v/>
      </c>
      <c r="M53" s="31">
        <f>IF(AND(ISNUMBER(G53),ISNUMBER(E53)),G53*E53,"")</f>
        <v/>
      </c>
      <c r="N53" s="33" t="n"/>
      <c r="O53" s="34">
        <f>IF(TRIM(A53)="",IF(COUNTA(B53:E53,N53)&gt;0,"メニュー名がありません",""),IF(COUNTIF($A$8:$A$107,A53)&gt;1,"同じメニュー名があります",IF(N(K53)=0,"レシピに材料がありません",IF(COUNTIFS('レシピ'!$A$5:$A$604,A53,'レシピ'!$F$5:$F$604,"&gt;=0")&lt;K53,"レシピに原価の出ない行があります（レシピの確認の列）",IF(NOT(ISNUMBER(C53)),"売価がありません","")))))</f>
        <v/>
      </c>
    </row>
    <row r="54" ht="17" customHeight="1">
      <c r="A54" s="38" t="n"/>
      <c r="B54" s="36" t="n"/>
      <c r="C54" s="40" t="n"/>
      <c r="D54" s="39" t="n"/>
      <c r="E54" s="39" t="n"/>
      <c r="F54" s="77">
        <f>IF(TRIM(A54)="","",SUMIF('レシピ'!$A$5:$A$604,A54,'レシピ'!$F$5:$F$604))</f>
        <v/>
      </c>
      <c r="G54" s="78">
        <f>IF(OR(TRIM(A54)="",N(K54)=0),"",IF(COUNTIFS('レシピ'!$A$5:$A$604,A54,'レシピ'!$F$5:$F$604,"&gt;=0")&lt;K54,"",F54/IF(ISNUMBER(D54),IF(D54&gt;0,D54,1),1)))</f>
        <v/>
      </c>
      <c r="H54" s="46">
        <f>IF(G54="","",IF(ISNUMBER(C54),IF(C54&gt;0,G54/C54,"－"),"－"))</f>
        <v/>
      </c>
      <c r="I54" s="77">
        <f>IF(OR(G54="",NOT(ISNUMBER(C54))),"",C54-G54)</f>
        <v/>
      </c>
      <c r="J54" s="54">
        <f>IF(NOT(ISNUMBER(H54)),"",IF(NOT(ISNUMBER('設定'!$B$8)),"",IF('設定'!$B$8&lt;=0,"",IF(H54&gt;'設定'!$B$8,"目標超え","目標内"))))</f>
        <v/>
      </c>
      <c r="K54" s="79">
        <f>IF(TRIM(A54)="","",COUNTIF('レシピ'!$A$5:$A$604,A54))</f>
        <v/>
      </c>
      <c r="L54" s="31">
        <f>IF(AND(ISNUMBER(C54),ISNUMBER(E54)),C54*E54,"")</f>
        <v/>
      </c>
      <c r="M54" s="31">
        <f>IF(AND(ISNUMBER(G54),ISNUMBER(E54)),G54*E54,"")</f>
        <v/>
      </c>
      <c r="N54" s="33" t="n"/>
      <c r="O54" s="34">
        <f>IF(TRIM(A54)="",IF(COUNTA(B54:E54,N54)&gt;0,"メニュー名がありません",""),IF(COUNTIF($A$8:$A$107,A54)&gt;1,"同じメニュー名があります",IF(N(K54)=0,"レシピに材料がありません",IF(COUNTIFS('レシピ'!$A$5:$A$604,A54,'レシピ'!$F$5:$F$604,"&gt;=0")&lt;K54,"レシピに原価の出ない行があります（レシピの確認の列）",IF(NOT(ISNUMBER(C54)),"売価がありません","")))))</f>
        <v/>
      </c>
    </row>
    <row r="55" ht="17" customHeight="1">
      <c r="A55" s="38" t="n"/>
      <c r="B55" s="36" t="n"/>
      <c r="C55" s="40" t="n"/>
      <c r="D55" s="39" t="n"/>
      <c r="E55" s="39" t="n"/>
      <c r="F55" s="77">
        <f>IF(TRIM(A55)="","",SUMIF('レシピ'!$A$5:$A$604,A55,'レシピ'!$F$5:$F$604))</f>
        <v/>
      </c>
      <c r="G55" s="78">
        <f>IF(OR(TRIM(A55)="",N(K55)=0),"",IF(COUNTIFS('レシピ'!$A$5:$A$604,A55,'レシピ'!$F$5:$F$604,"&gt;=0")&lt;K55,"",F55/IF(ISNUMBER(D55),IF(D55&gt;0,D55,1),1)))</f>
        <v/>
      </c>
      <c r="H55" s="46">
        <f>IF(G55="","",IF(ISNUMBER(C55),IF(C55&gt;0,G55/C55,"－"),"－"))</f>
        <v/>
      </c>
      <c r="I55" s="77">
        <f>IF(OR(G55="",NOT(ISNUMBER(C55))),"",C55-G55)</f>
        <v/>
      </c>
      <c r="J55" s="54">
        <f>IF(NOT(ISNUMBER(H55)),"",IF(NOT(ISNUMBER('設定'!$B$8)),"",IF('設定'!$B$8&lt;=0,"",IF(H55&gt;'設定'!$B$8,"目標超え","目標内"))))</f>
        <v/>
      </c>
      <c r="K55" s="79">
        <f>IF(TRIM(A55)="","",COUNTIF('レシピ'!$A$5:$A$604,A55))</f>
        <v/>
      </c>
      <c r="L55" s="31">
        <f>IF(AND(ISNUMBER(C55),ISNUMBER(E55)),C55*E55,"")</f>
        <v/>
      </c>
      <c r="M55" s="31">
        <f>IF(AND(ISNUMBER(G55),ISNUMBER(E55)),G55*E55,"")</f>
        <v/>
      </c>
      <c r="N55" s="33" t="n"/>
      <c r="O55" s="34">
        <f>IF(TRIM(A55)="",IF(COUNTA(B55:E55,N55)&gt;0,"メニュー名がありません",""),IF(COUNTIF($A$8:$A$107,A55)&gt;1,"同じメニュー名があります",IF(N(K55)=0,"レシピに材料がありません",IF(COUNTIFS('レシピ'!$A$5:$A$604,A55,'レシピ'!$F$5:$F$604,"&gt;=0")&lt;K55,"レシピに原価の出ない行があります（レシピの確認の列）",IF(NOT(ISNUMBER(C55)),"売価がありません","")))))</f>
        <v/>
      </c>
    </row>
    <row r="56" ht="17" customHeight="1">
      <c r="A56" s="38" t="n"/>
      <c r="B56" s="36" t="n"/>
      <c r="C56" s="40" t="n"/>
      <c r="D56" s="39" t="n"/>
      <c r="E56" s="39" t="n"/>
      <c r="F56" s="77">
        <f>IF(TRIM(A56)="","",SUMIF('レシピ'!$A$5:$A$604,A56,'レシピ'!$F$5:$F$604))</f>
        <v/>
      </c>
      <c r="G56" s="78">
        <f>IF(OR(TRIM(A56)="",N(K56)=0),"",IF(COUNTIFS('レシピ'!$A$5:$A$604,A56,'レシピ'!$F$5:$F$604,"&gt;=0")&lt;K56,"",F56/IF(ISNUMBER(D56),IF(D56&gt;0,D56,1),1)))</f>
        <v/>
      </c>
      <c r="H56" s="46">
        <f>IF(G56="","",IF(ISNUMBER(C56),IF(C56&gt;0,G56/C56,"－"),"－"))</f>
        <v/>
      </c>
      <c r="I56" s="77">
        <f>IF(OR(G56="",NOT(ISNUMBER(C56))),"",C56-G56)</f>
        <v/>
      </c>
      <c r="J56" s="54">
        <f>IF(NOT(ISNUMBER(H56)),"",IF(NOT(ISNUMBER('設定'!$B$8)),"",IF('設定'!$B$8&lt;=0,"",IF(H56&gt;'設定'!$B$8,"目標超え","目標内"))))</f>
        <v/>
      </c>
      <c r="K56" s="79">
        <f>IF(TRIM(A56)="","",COUNTIF('レシピ'!$A$5:$A$604,A56))</f>
        <v/>
      </c>
      <c r="L56" s="31">
        <f>IF(AND(ISNUMBER(C56),ISNUMBER(E56)),C56*E56,"")</f>
        <v/>
      </c>
      <c r="M56" s="31">
        <f>IF(AND(ISNUMBER(G56),ISNUMBER(E56)),G56*E56,"")</f>
        <v/>
      </c>
      <c r="N56" s="33" t="n"/>
      <c r="O56" s="34">
        <f>IF(TRIM(A56)="",IF(COUNTA(B56:E56,N56)&gt;0,"メニュー名がありません",""),IF(COUNTIF($A$8:$A$107,A56)&gt;1,"同じメニュー名があります",IF(N(K56)=0,"レシピに材料がありません",IF(COUNTIFS('レシピ'!$A$5:$A$604,A56,'レシピ'!$F$5:$F$604,"&gt;=0")&lt;K56,"レシピに原価の出ない行があります（レシピの確認の列）",IF(NOT(ISNUMBER(C56)),"売価がありません","")))))</f>
        <v/>
      </c>
    </row>
    <row r="57" ht="17" customHeight="1">
      <c r="A57" s="38" t="n"/>
      <c r="B57" s="36" t="n"/>
      <c r="C57" s="40" t="n"/>
      <c r="D57" s="39" t="n"/>
      <c r="E57" s="39" t="n"/>
      <c r="F57" s="77">
        <f>IF(TRIM(A57)="","",SUMIF('レシピ'!$A$5:$A$604,A57,'レシピ'!$F$5:$F$604))</f>
        <v/>
      </c>
      <c r="G57" s="78">
        <f>IF(OR(TRIM(A57)="",N(K57)=0),"",IF(COUNTIFS('レシピ'!$A$5:$A$604,A57,'レシピ'!$F$5:$F$604,"&gt;=0")&lt;K57,"",F57/IF(ISNUMBER(D57),IF(D57&gt;0,D57,1),1)))</f>
        <v/>
      </c>
      <c r="H57" s="46">
        <f>IF(G57="","",IF(ISNUMBER(C57),IF(C57&gt;0,G57/C57,"－"),"－"))</f>
        <v/>
      </c>
      <c r="I57" s="77">
        <f>IF(OR(G57="",NOT(ISNUMBER(C57))),"",C57-G57)</f>
        <v/>
      </c>
      <c r="J57" s="54">
        <f>IF(NOT(ISNUMBER(H57)),"",IF(NOT(ISNUMBER('設定'!$B$8)),"",IF('設定'!$B$8&lt;=0,"",IF(H57&gt;'設定'!$B$8,"目標超え","目標内"))))</f>
        <v/>
      </c>
      <c r="K57" s="79">
        <f>IF(TRIM(A57)="","",COUNTIF('レシピ'!$A$5:$A$604,A57))</f>
        <v/>
      </c>
      <c r="L57" s="31">
        <f>IF(AND(ISNUMBER(C57),ISNUMBER(E57)),C57*E57,"")</f>
        <v/>
      </c>
      <c r="M57" s="31">
        <f>IF(AND(ISNUMBER(G57),ISNUMBER(E57)),G57*E57,"")</f>
        <v/>
      </c>
      <c r="N57" s="33" t="n"/>
      <c r="O57" s="34">
        <f>IF(TRIM(A57)="",IF(COUNTA(B57:E57,N57)&gt;0,"メニュー名がありません",""),IF(COUNTIF($A$8:$A$107,A57)&gt;1,"同じメニュー名があります",IF(N(K57)=0,"レシピに材料がありません",IF(COUNTIFS('レシピ'!$A$5:$A$604,A57,'レシピ'!$F$5:$F$604,"&gt;=0")&lt;K57,"レシピに原価の出ない行があります（レシピの確認の列）",IF(NOT(ISNUMBER(C57)),"売価がありません","")))))</f>
        <v/>
      </c>
    </row>
    <row r="58" ht="17" customHeight="1">
      <c r="A58" s="38" t="n"/>
      <c r="B58" s="36" t="n"/>
      <c r="C58" s="40" t="n"/>
      <c r="D58" s="39" t="n"/>
      <c r="E58" s="39" t="n"/>
      <c r="F58" s="77">
        <f>IF(TRIM(A58)="","",SUMIF('レシピ'!$A$5:$A$604,A58,'レシピ'!$F$5:$F$604))</f>
        <v/>
      </c>
      <c r="G58" s="78">
        <f>IF(OR(TRIM(A58)="",N(K58)=0),"",IF(COUNTIFS('レシピ'!$A$5:$A$604,A58,'レシピ'!$F$5:$F$604,"&gt;=0")&lt;K58,"",F58/IF(ISNUMBER(D58),IF(D58&gt;0,D58,1),1)))</f>
        <v/>
      </c>
      <c r="H58" s="46">
        <f>IF(G58="","",IF(ISNUMBER(C58),IF(C58&gt;0,G58/C58,"－"),"－"))</f>
        <v/>
      </c>
      <c r="I58" s="77">
        <f>IF(OR(G58="",NOT(ISNUMBER(C58))),"",C58-G58)</f>
        <v/>
      </c>
      <c r="J58" s="54">
        <f>IF(NOT(ISNUMBER(H58)),"",IF(NOT(ISNUMBER('設定'!$B$8)),"",IF('設定'!$B$8&lt;=0,"",IF(H58&gt;'設定'!$B$8,"目標超え","目標内"))))</f>
        <v/>
      </c>
      <c r="K58" s="79">
        <f>IF(TRIM(A58)="","",COUNTIF('レシピ'!$A$5:$A$604,A58))</f>
        <v/>
      </c>
      <c r="L58" s="31">
        <f>IF(AND(ISNUMBER(C58),ISNUMBER(E58)),C58*E58,"")</f>
        <v/>
      </c>
      <c r="M58" s="31">
        <f>IF(AND(ISNUMBER(G58),ISNUMBER(E58)),G58*E58,"")</f>
        <v/>
      </c>
      <c r="N58" s="33" t="n"/>
      <c r="O58" s="34">
        <f>IF(TRIM(A58)="",IF(COUNTA(B58:E58,N58)&gt;0,"メニュー名がありません",""),IF(COUNTIF($A$8:$A$107,A58)&gt;1,"同じメニュー名があります",IF(N(K58)=0,"レシピに材料がありません",IF(COUNTIFS('レシピ'!$A$5:$A$604,A58,'レシピ'!$F$5:$F$604,"&gt;=0")&lt;K58,"レシピに原価の出ない行があります（レシピの確認の列）",IF(NOT(ISNUMBER(C58)),"売価がありません","")))))</f>
        <v/>
      </c>
    </row>
    <row r="59" ht="17" customHeight="1">
      <c r="A59" s="38" t="n"/>
      <c r="B59" s="36" t="n"/>
      <c r="C59" s="40" t="n"/>
      <c r="D59" s="39" t="n"/>
      <c r="E59" s="39" t="n"/>
      <c r="F59" s="77">
        <f>IF(TRIM(A59)="","",SUMIF('レシピ'!$A$5:$A$604,A59,'レシピ'!$F$5:$F$604))</f>
        <v/>
      </c>
      <c r="G59" s="78">
        <f>IF(OR(TRIM(A59)="",N(K59)=0),"",IF(COUNTIFS('レシピ'!$A$5:$A$604,A59,'レシピ'!$F$5:$F$604,"&gt;=0")&lt;K59,"",F59/IF(ISNUMBER(D59),IF(D59&gt;0,D59,1),1)))</f>
        <v/>
      </c>
      <c r="H59" s="46">
        <f>IF(G59="","",IF(ISNUMBER(C59),IF(C59&gt;0,G59/C59,"－"),"－"))</f>
        <v/>
      </c>
      <c r="I59" s="77">
        <f>IF(OR(G59="",NOT(ISNUMBER(C59))),"",C59-G59)</f>
        <v/>
      </c>
      <c r="J59" s="54">
        <f>IF(NOT(ISNUMBER(H59)),"",IF(NOT(ISNUMBER('設定'!$B$8)),"",IF('設定'!$B$8&lt;=0,"",IF(H59&gt;'設定'!$B$8,"目標超え","目標内"))))</f>
        <v/>
      </c>
      <c r="K59" s="79">
        <f>IF(TRIM(A59)="","",COUNTIF('レシピ'!$A$5:$A$604,A59))</f>
        <v/>
      </c>
      <c r="L59" s="31">
        <f>IF(AND(ISNUMBER(C59),ISNUMBER(E59)),C59*E59,"")</f>
        <v/>
      </c>
      <c r="M59" s="31">
        <f>IF(AND(ISNUMBER(G59),ISNUMBER(E59)),G59*E59,"")</f>
        <v/>
      </c>
      <c r="N59" s="33" t="n"/>
      <c r="O59" s="34">
        <f>IF(TRIM(A59)="",IF(COUNTA(B59:E59,N59)&gt;0,"メニュー名がありません",""),IF(COUNTIF($A$8:$A$107,A59)&gt;1,"同じメニュー名があります",IF(N(K59)=0,"レシピに材料がありません",IF(COUNTIFS('レシピ'!$A$5:$A$604,A59,'レシピ'!$F$5:$F$604,"&gt;=0")&lt;K59,"レシピに原価の出ない行があります（レシピの確認の列）",IF(NOT(ISNUMBER(C59)),"売価がありません","")))))</f>
        <v/>
      </c>
    </row>
    <row r="60" ht="17" customHeight="1">
      <c r="A60" s="38" t="n"/>
      <c r="B60" s="36" t="n"/>
      <c r="C60" s="40" t="n"/>
      <c r="D60" s="39" t="n"/>
      <c r="E60" s="39" t="n"/>
      <c r="F60" s="77">
        <f>IF(TRIM(A60)="","",SUMIF('レシピ'!$A$5:$A$604,A60,'レシピ'!$F$5:$F$604))</f>
        <v/>
      </c>
      <c r="G60" s="78">
        <f>IF(OR(TRIM(A60)="",N(K60)=0),"",IF(COUNTIFS('レシピ'!$A$5:$A$604,A60,'レシピ'!$F$5:$F$604,"&gt;=0")&lt;K60,"",F60/IF(ISNUMBER(D60),IF(D60&gt;0,D60,1),1)))</f>
        <v/>
      </c>
      <c r="H60" s="46">
        <f>IF(G60="","",IF(ISNUMBER(C60),IF(C60&gt;0,G60/C60,"－"),"－"))</f>
        <v/>
      </c>
      <c r="I60" s="77">
        <f>IF(OR(G60="",NOT(ISNUMBER(C60))),"",C60-G60)</f>
        <v/>
      </c>
      <c r="J60" s="54">
        <f>IF(NOT(ISNUMBER(H60)),"",IF(NOT(ISNUMBER('設定'!$B$8)),"",IF('設定'!$B$8&lt;=0,"",IF(H60&gt;'設定'!$B$8,"目標超え","目標内"))))</f>
        <v/>
      </c>
      <c r="K60" s="79">
        <f>IF(TRIM(A60)="","",COUNTIF('レシピ'!$A$5:$A$604,A60))</f>
        <v/>
      </c>
      <c r="L60" s="31">
        <f>IF(AND(ISNUMBER(C60),ISNUMBER(E60)),C60*E60,"")</f>
        <v/>
      </c>
      <c r="M60" s="31">
        <f>IF(AND(ISNUMBER(G60),ISNUMBER(E60)),G60*E60,"")</f>
        <v/>
      </c>
      <c r="N60" s="33" t="n"/>
      <c r="O60" s="34">
        <f>IF(TRIM(A60)="",IF(COUNTA(B60:E60,N60)&gt;0,"メニュー名がありません",""),IF(COUNTIF($A$8:$A$107,A60)&gt;1,"同じメニュー名があります",IF(N(K60)=0,"レシピに材料がありません",IF(COUNTIFS('レシピ'!$A$5:$A$604,A60,'レシピ'!$F$5:$F$604,"&gt;=0")&lt;K60,"レシピに原価の出ない行があります（レシピの確認の列）",IF(NOT(ISNUMBER(C60)),"売価がありません","")))))</f>
        <v/>
      </c>
    </row>
    <row r="61" ht="17" customHeight="1">
      <c r="A61" s="38" t="n"/>
      <c r="B61" s="36" t="n"/>
      <c r="C61" s="40" t="n"/>
      <c r="D61" s="39" t="n"/>
      <c r="E61" s="39" t="n"/>
      <c r="F61" s="77">
        <f>IF(TRIM(A61)="","",SUMIF('レシピ'!$A$5:$A$604,A61,'レシピ'!$F$5:$F$604))</f>
        <v/>
      </c>
      <c r="G61" s="78">
        <f>IF(OR(TRIM(A61)="",N(K61)=0),"",IF(COUNTIFS('レシピ'!$A$5:$A$604,A61,'レシピ'!$F$5:$F$604,"&gt;=0")&lt;K61,"",F61/IF(ISNUMBER(D61),IF(D61&gt;0,D61,1),1)))</f>
        <v/>
      </c>
      <c r="H61" s="46">
        <f>IF(G61="","",IF(ISNUMBER(C61),IF(C61&gt;0,G61/C61,"－"),"－"))</f>
        <v/>
      </c>
      <c r="I61" s="77">
        <f>IF(OR(G61="",NOT(ISNUMBER(C61))),"",C61-G61)</f>
        <v/>
      </c>
      <c r="J61" s="54">
        <f>IF(NOT(ISNUMBER(H61)),"",IF(NOT(ISNUMBER('設定'!$B$8)),"",IF('設定'!$B$8&lt;=0,"",IF(H61&gt;'設定'!$B$8,"目標超え","目標内"))))</f>
        <v/>
      </c>
      <c r="K61" s="79">
        <f>IF(TRIM(A61)="","",COUNTIF('レシピ'!$A$5:$A$604,A61))</f>
        <v/>
      </c>
      <c r="L61" s="31">
        <f>IF(AND(ISNUMBER(C61),ISNUMBER(E61)),C61*E61,"")</f>
        <v/>
      </c>
      <c r="M61" s="31">
        <f>IF(AND(ISNUMBER(G61),ISNUMBER(E61)),G61*E61,"")</f>
        <v/>
      </c>
      <c r="N61" s="33" t="n"/>
      <c r="O61" s="34">
        <f>IF(TRIM(A61)="",IF(COUNTA(B61:E61,N61)&gt;0,"メニュー名がありません",""),IF(COUNTIF($A$8:$A$107,A61)&gt;1,"同じメニュー名があります",IF(N(K61)=0,"レシピに材料がありません",IF(COUNTIFS('レシピ'!$A$5:$A$604,A61,'レシピ'!$F$5:$F$604,"&gt;=0")&lt;K61,"レシピに原価の出ない行があります（レシピの確認の列）",IF(NOT(ISNUMBER(C61)),"売価がありません","")))))</f>
        <v/>
      </c>
    </row>
    <row r="62" ht="17" customHeight="1">
      <c r="A62" s="38" t="n"/>
      <c r="B62" s="36" t="n"/>
      <c r="C62" s="40" t="n"/>
      <c r="D62" s="39" t="n"/>
      <c r="E62" s="39" t="n"/>
      <c r="F62" s="77">
        <f>IF(TRIM(A62)="","",SUMIF('レシピ'!$A$5:$A$604,A62,'レシピ'!$F$5:$F$604))</f>
        <v/>
      </c>
      <c r="G62" s="78">
        <f>IF(OR(TRIM(A62)="",N(K62)=0),"",IF(COUNTIFS('レシピ'!$A$5:$A$604,A62,'レシピ'!$F$5:$F$604,"&gt;=0")&lt;K62,"",F62/IF(ISNUMBER(D62),IF(D62&gt;0,D62,1),1)))</f>
        <v/>
      </c>
      <c r="H62" s="46">
        <f>IF(G62="","",IF(ISNUMBER(C62),IF(C62&gt;0,G62/C62,"－"),"－"))</f>
        <v/>
      </c>
      <c r="I62" s="77">
        <f>IF(OR(G62="",NOT(ISNUMBER(C62))),"",C62-G62)</f>
        <v/>
      </c>
      <c r="J62" s="54">
        <f>IF(NOT(ISNUMBER(H62)),"",IF(NOT(ISNUMBER('設定'!$B$8)),"",IF('設定'!$B$8&lt;=0,"",IF(H62&gt;'設定'!$B$8,"目標超え","目標内"))))</f>
        <v/>
      </c>
      <c r="K62" s="79">
        <f>IF(TRIM(A62)="","",COUNTIF('レシピ'!$A$5:$A$604,A62))</f>
        <v/>
      </c>
      <c r="L62" s="31">
        <f>IF(AND(ISNUMBER(C62),ISNUMBER(E62)),C62*E62,"")</f>
        <v/>
      </c>
      <c r="M62" s="31">
        <f>IF(AND(ISNUMBER(G62),ISNUMBER(E62)),G62*E62,"")</f>
        <v/>
      </c>
      <c r="N62" s="33" t="n"/>
      <c r="O62" s="34">
        <f>IF(TRIM(A62)="",IF(COUNTA(B62:E62,N62)&gt;0,"メニュー名がありません",""),IF(COUNTIF($A$8:$A$107,A62)&gt;1,"同じメニュー名があります",IF(N(K62)=0,"レシピに材料がありません",IF(COUNTIFS('レシピ'!$A$5:$A$604,A62,'レシピ'!$F$5:$F$604,"&gt;=0")&lt;K62,"レシピに原価の出ない行があります（レシピの確認の列）",IF(NOT(ISNUMBER(C62)),"売価がありません","")))))</f>
        <v/>
      </c>
    </row>
    <row r="63" ht="17" customHeight="1">
      <c r="A63" s="38" t="n"/>
      <c r="B63" s="36" t="n"/>
      <c r="C63" s="40" t="n"/>
      <c r="D63" s="39" t="n"/>
      <c r="E63" s="39" t="n"/>
      <c r="F63" s="77">
        <f>IF(TRIM(A63)="","",SUMIF('レシピ'!$A$5:$A$604,A63,'レシピ'!$F$5:$F$604))</f>
        <v/>
      </c>
      <c r="G63" s="78">
        <f>IF(OR(TRIM(A63)="",N(K63)=0),"",IF(COUNTIFS('レシピ'!$A$5:$A$604,A63,'レシピ'!$F$5:$F$604,"&gt;=0")&lt;K63,"",F63/IF(ISNUMBER(D63),IF(D63&gt;0,D63,1),1)))</f>
        <v/>
      </c>
      <c r="H63" s="46">
        <f>IF(G63="","",IF(ISNUMBER(C63),IF(C63&gt;0,G63/C63,"－"),"－"))</f>
        <v/>
      </c>
      <c r="I63" s="77">
        <f>IF(OR(G63="",NOT(ISNUMBER(C63))),"",C63-G63)</f>
        <v/>
      </c>
      <c r="J63" s="54">
        <f>IF(NOT(ISNUMBER(H63)),"",IF(NOT(ISNUMBER('設定'!$B$8)),"",IF('設定'!$B$8&lt;=0,"",IF(H63&gt;'設定'!$B$8,"目標超え","目標内"))))</f>
        <v/>
      </c>
      <c r="K63" s="79">
        <f>IF(TRIM(A63)="","",COUNTIF('レシピ'!$A$5:$A$604,A63))</f>
        <v/>
      </c>
      <c r="L63" s="31">
        <f>IF(AND(ISNUMBER(C63),ISNUMBER(E63)),C63*E63,"")</f>
        <v/>
      </c>
      <c r="M63" s="31">
        <f>IF(AND(ISNUMBER(G63),ISNUMBER(E63)),G63*E63,"")</f>
        <v/>
      </c>
      <c r="N63" s="33" t="n"/>
      <c r="O63" s="34">
        <f>IF(TRIM(A63)="",IF(COUNTA(B63:E63,N63)&gt;0,"メニュー名がありません",""),IF(COUNTIF($A$8:$A$107,A63)&gt;1,"同じメニュー名があります",IF(N(K63)=0,"レシピに材料がありません",IF(COUNTIFS('レシピ'!$A$5:$A$604,A63,'レシピ'!$F$5:$F$604,"&gt;=0")&lt;K63,"レシピに原価の出ない行があります（レシピの確認の列）",IF(NOT(ISNUMBER(C63)),"売価がありません","")))))</f>
        <v/>
      </c>
    </row>
    <row r="64" ht="17" customHeight="1">
      <c r="A64" s="38" t="n"/>
      <c r="B64" s="36" t="n"/>
      <c r="C64" s="40" t="n"/>
      <c r="D64" s="39" t="n"/>
      <c r="E64" s="39" t="n"/>
      <c r="F64" s="77">
        <f>IF(TRIM(A64)="","",SUMIF('レシピ'!$A$5:$A$604,A64,'レシピ'!$F$5:$F$604))</f>
        <v/>
      </c>
      <c r="G64" s="78">
        <f>IF(OR(TRIM(A64)="",N(K64)=0),"",IF(COUNTIFS('レシピ'!$A$5:$A$604,A64,'レシピ'!$F$5:$F$604,"&gt;=0")&lt;K64,"",F64/IF(ISNUMBER(D64),IF(D64&gt;0,D64,1),1)))</f>
        <v/>
      </c>
      <c r="H64" s="46">
        <f>IF(G64="","",IF(ISNUMBER(C64),IF(C64&gt;0,G64/C64,"－"),"－"))</f>
        <v/>
      </c>
      <c r="I64" s="77">
        <f>IF(OR(G64="",NOT(ISNUMBER(C64))),"",C64-G64)</f>
        <v/>
      </c>
      <c r="J64" s="54">
        <f>IF(NOT(ISNUMBER(H64)),"",IF(NOT(ISNUMBER('設定'!$B$8)),"",IF('設定'!$B$8&lt;=0,"",IF(H64&gt;'設定'!$B$8,"目標超え","目標内"))))</f>
        <v/>
      </c>
      <c r="K64" s="79">
        <f>IF(TRIM(A64)="","",COUNTIF('レシピ'!$A$5:$A$604,A64))</f>
        <v/>
      </c>
      <c r="L64" s="31">
        <f>IF(AND(ISNUMBER(C64),ISNUMBER(E64)),C64*E64,"")</f>
        <v/>
      </c>
      <c r="M64" s="31">
        <f>IF(AND(ISNUMBER(G64),ISNUMBER(E64)),G64*E64,"")</f>
        <v/>
      </c>
      <c r="N64" s="33" t="n"/>
      <c r="O64" s="34">
        <f>IF(TRIM(A64)="",IF(COUNTA(B64:E64,N64)&gt;0,"メニュー名がありません",""),IF(COUNTIF($A$8:$A$107,A64)&gt;1,"同じメニュー名があります",IF(N(K64)=0,"レシピに材料がありません",IF(COUNTIFS('レシピ'!$A$5:$A$604,A64,'レシピ'!$F$5:$F$604,"&gt;=0")&lt;K64,"レシピに原価の出ない行があります（レシピの確認の列）",IF(NOT(ISNUMBER(C64)),"売価がありません","")))))</f>
        <v/>
      </c>
    </row>
    <row r="65" ht="17" customHeight="1">
      <c r="A65" s="38" t="n"/>
      <c r="B65" s="36" t="n"/>
      <c r="C65" s="40" t="n"/>
      <c r="D65" s="39" t="n"/>
      <c r="E65" s="39" t="n"/>
      <c r="F65" s="77">
        <f>IF(TRIM(A65)="","",SUMIF('レシピ'!$A$5:$A$604,A65,'レシピ'!$F$5:$F$604))</f>
        <v/>
      </c>
      <c r="G65" s="78">
        <f>IF(OR(TRIM(A65)="",N(K65)=0),"",IF(COUNTIFS('レシピ'!$A$5:$A$604,A65,'レシピ'!$F$5:$F$604,"&gt;=0")&lt;K65,"",F65/IF(ISNUMBER(D65),IF(D65&gt;0,D65,1),1)))</f>
        <v/>
      </c>
      <c r="H65" s="46">
        <f>IF(G65="","",IF(ISNUMBER(C65),IF(C65&gt;0,G65/C65,"－"),"－"))</f>
        <v/>
      </c>
      <c r="I65" s="77">
        <f>IF(OR(G65="",NOT(ISNUMBER(C65))),"",C65-G65)</f>
        <v/>
      </c>
      <c r="J65" s="54">
        <f>IF(NOT(ISNUMBER(H65)),"",IF(NOT(ISNUMBER('設定'!$B$8)),"",IF('設定'!$B$8&lt;=0,"",IF(H65&gt;'設定'!$B$8,"目標超え","目標内"))))</f>
        <v/>
      </c>
      <c r="K65" s="79">
        <f>IF(TRIM(A65)="","",COUNTIF('レシピ'!$A$5:$A$604,A65))</f>
        <v/>
      </c>
      <c r="L65" s="31">
        <f>IF(AND(ISNUMBER(C65),ISNUMBER(E65)),C65*E65,"")</f>
        <v/>
      </c>
      <c r="M65" s="31">
        <f>IF(AND(ISNUMBER(G65),ISNUMBER(E65)),G65*E65,"")</f>
        <v/>
      </c>
      <c r="N65" s="33" t="n"/>
      <c r="O65" s="34">
        <f>IF(TRIM(A65)="",IF(COUNTA(B65:E65,N65)&gt;0,"メニュー名がありません",""),IF(COUNTIF($A$8:$A$107,A65)&gt;1,"同じメニュー名があります",IF(N(K65)=0,"レシピに材料がありません",IF(COUNTIFS('レシピ'!$A$5:$A$604,A65,'レシピ'!$F$5:$F$604,"&gt;=0")&lt;K65,"レシピに原価の出ない行があります（レシピの確認の列）",IF(NOT(ISNUMBER(C65)),"売価がありません","")))))</f>
        <v/>
      </c>
    </row>
    <row r="66" ht="17" customHeight="1">
      <c r="A66" s="38" t="n"/>
      <c r="B66" s="36" t="n"/>
      <c r="C66" s="40" t="n"/>
      <c r="D66" s="39" t="n"/>
      <c r="E66" s="39" t="n"/>
      <c r="F66" s="77">
        <f>IF(TRIM(A66)="","",SUMIF('レシピ'!$A$5:$A$604,A66,'レシピ'!$F$5:$F$604))</f>
        <v/>
      </c>
      <c r="G66" s="78">
        <f>IF(OR(TRIM(A66)="",N(K66)=0),"",IF(COUNTIFS('レシピ'!$A$5:$A$604,A66,'レシピ'!$F$5:$F$604,"&gt;=0")&lt;K66,"",F66/IF(ISNUMBER(D66),IF(D66&gt;0,D66,1),1)))</f>
        <v/>
      </c>
      <c r="H66" s="46">
        <f>IF(G66="","",IF(ISNUMBER(C66),IF(C66&gt;0,G66/C66,"－"),"－"))</f>
        <v/>
      </c>
      <c r="I66" s="77">
        <f>IF(OR(G66="",NOT(ISNUMBER(C66))),"",C66-G66)</f>
        <v/>
      </c>
      <c r="J66" s="54">
        <f>IF(NOT(ISNUMBER(H66)),"",IF(NOT(ISNUMBER('設定'!$B$8)),"",IF('設定'!$B$8&lt;=0,"",IF(H66&gt;'設定'!$B$8,"目標超え","目標内"))))</f>
        <v/>
      </c>
      <c r="K66" s="79">
        <f>IF(TRIM(A66)="","",COUNTIF('レシピ'!$A$5:$A$604,A66))</f>
        <v/>
      </c>
      <c r="L66" s="31">
        <f>IF(AND(ISNUMBER(C66),ISNUMBER(E66)),C66*E66,"")</f>
        <v/>
      </c>
      <c r="M66" s="31">
        <f>IF(AND(ISNUMBER(G66),ISNUMBER(E66)),G66*E66,"")</f>
        <v/>
      </c>
      <c r="N66" s="33" t="n"/>
      <c r="O66" s="34">
        <f>IF(TRIM(A66)="",IF(COUNTA(B66:E66,N66)&gt;0,"メニュー名がありません",""),IF(COUNTIF($A$8:$A$107,A66)&gt;1,"同じメニュー名があります",IF(N(K66)=0,"レシピに材料がありません",IF(COUNTIFS('レシピ'!$A$5:$A$604,A66,'レシピ'!$F$5:$F$604,"&gt;=0")&lt;K66,"レシピに原価の出ない行があります（レシピの確認の列）",IF(NOT(ISNUMBER(C66)),"売価がありません","")))))</f>
        <v/>
      </c>
    </row>
    <row r="67" ht="17" customHeight="1">
      <c r="A67" s="38" t="n"/>
      <c r="B67" s="36" t="n"/>
      <c r="C67" s="40" t="n"/>
      <c r="D67" s="39" t="n"/>
      <c r="E67" s="39" t="n"/>
      <c r="F67" s="77">
        <f>IF(TRIM(A67)="","",SUMIF('レシピ'!$A$5:$A$604,A67,'レシピ'!$F$5:$F$604))</f>
        <v/>
      </c>
      <c r="G67" s="78">
        <f>IF(OR(TRIM(A67)="",N(K67)=0),"",IF(COUNTIFS('レシピ'!$A$5:$A$604,A67,'レシピ'!$F$5:$F$604,"&gt;=0")&lt;K67,"",F67/IF(ISNUMBER(D67),IF(D67&gt;0,D67,1),1)))</f>
        <v/>
      </c>
      <c r="H67" s="46">
        <f>IF(G67="","",IF(ISNUMBER(C67),IF(C67&gt;0,G67/C67,"－"),"－"))</f>
        <v/>
      </c>
      <c r="I67" s="77">
        <f>IF(OR(G67="",NOT(ISNUMBER(C67))),"",C67-G67)</f>
        <v/>
      </c>
      <c r="J67" s="54">
        <f>IF(NOT(ISNUMBER(H67)),"",IF(NOT(ISNUMBER('設定'!$B$8)),"",IF('設定'!$B$8&lt;=0,"",IF(H67&gt;'設定'!$B$8,"目標超え","目標内"))))</f>
        <v/>
      </c>
      <c r="K67" s="79">
        <f>IF(TRIM(A67)="","",COUNTIF('レシピ'!$A$5:$A$604,A67))</f>
        <v/>
      </c>
      <c r="L67" s="31">
        <f>IF(AND(ISNUMBER(C67),ISNUMBER(E67)),C67*E67,"")</f>
        <v/>
      </c>
      <c r="M67" s="31">
        <f>IF(AND(ISNUMBER(G67),ISNUMBER(E67)),G67*E67,"")</f>
        <v/>
      </c>
      <c r="N67" s="33" t="n"/>
      <c r="O67" s="34">
        <f>IF(TRIM(A67)="",IF(COUNTA(B67:E67,N67)&gt;0,"メニュー名がありません",""),IF(COUNTIF($A$8:$A$107,A67)&gt;1,"同じメニュー名があります",IF(N(K67)=0,"レシピに材料がありません",IF(COUNTIFS('レシピ'!$A$5:$A$604,A67,'レシピ'!$F$5:$F$604,"&gt;=0")&lt;K67,"レシピに原価の出ない行があります（レシピの確認の列）",IF(NOT(ISNUMBER(C67)),"売価がありません","")))))</f>
        <v/>
      </c>
    </row>
    <row r="68" ht="17" customHeight="1">
      <c r="A68" s="38" t="n"/>
      <c r="B68" s="36" t="n"/>
      <c r="C68" s="40" t="n"/>
      <c r="D68" s="39" t="n"/>
      <c r="E68" s="39" t="n"/>
      <c r="F68" s="77">
        <f>IF(TRIM(A68)="","",SUMIF('レシピ'!$A$5:$A$604,A68,'レシピ'!$F$5:$F$604))</f>
        <v/>
      </c>
      <c r="G68" s="78">
        <f>IF(OR(TRIM(A68)="",N(K68)=0),"",IF(COUNTIFS('レシピ'!$A$5:$A$604,A68,'レシピ'!$F$5:$F$604,"&gt;=0")&lt;K68,"",F68/IF(ISNUMBER(D68),IF(D68&gt;0,D68,1),1)))</f>
        <v/>
      </c>
      <c r="H68" s="46">
        <f>IF(G68="","",IF(ISNUMBER(C68),IF(C68&gt;0,G68/C68,"－"),"－"))</f>
        <v/>
      </c>
      <c r="I68" s="77">
        <f>IF(OR(G68="",NOT(ISNUMBER(C68))),"",C68-G68)</f>
        <v/>
      </c>
      <c r="J68" s="54">
        <f>IF(NOT(ISNUMBER(H68)),"",IF(NOT(ISNUMBER('設定'!$B$8)),"",IF('設定'!$B$8&lt;=0,"",IF(H68&gt;'設定'!$B$8,"目標超え","目標内"))))</f>
        <v/>
      </c>
      <c r="K68" s="79">
        <f>IF(TRIM(A68)="","",COUNTIF('レシピ'!$A$5:$A$604,A68))</f>
        <v/>
      </c>
      <c r="L68" s="31">
        <f>IF(AND(ISNUMBER(C68),ISNUMBER(E68)),C68*E68,"")</f>
        <v/>
      </c>
      <c r="M68" s="31">
        <f>IF(AND(ISNUMBER(G68),ISNUMBER(E68)),G68*E68,"")</f>
        <v/>
      </c>
      <c r="N68" s="33" t="n"/>
      <c r="O68" s="34">
        <f>IF(TRIM(A68)="",IF(COUNTA(B68:E68,N68)&gt;0,"メニュー名がありません",""),IF(COUNTIF($A$8:$A$107,A68)&gt;1,"同じメニュー名があります",IF(N(K68)=0,"レシピに材料がありません",IF(COUNTIFS('レシピ'!$A$5:$A$604,A68,'レシピ'!$F$5:$F$604,"&gt;=0")&lt;K68,"レシピに原価の出ない行があります（レシピの確認の列）",IF(NOT(ISNUMBER(C68)),"売価がありません","")))))</f>
        <v/>
      </c>
    </row>
    <row r="69" ht="17" customHeight="1">
      <c r="A69" s="38" t="n"/>
      <c r="B69" s="36" t="n"/>
      <c r="C69" s="40" t="n"/>
      <c r="D69" s="39" t="n"/>
      <c r="E69" s="39" t="n"/>
      <c r="F69" s="77">
        <f>IF(TRIM(A69)="","",SUMIF('レシピ'!$A$5:$A$604,A69,'レシピ'!$F$5:$F$604))</f>
        <v/>
      </c>
      <c r="G69" s="78">
        <f>IF(OR(TRIM(A69)="",N(K69)=0),"",IF(COUNTIFS('レシピ'!$A$5:$A$604,A69,'レシピ'!$F$5:$F$604,"&gt;=0")&lt;K69,"",F69/IF(ISNUMBER(D69),IF(D69&gt;0,D69,1),1)))</f>
        <v/>
      </c>
      <c r="H69" s="46">
        <f>IF(G69="","",IF(ISNUMBER(C69),IF(C69&gt;0,G69/C69,"－"),"－"))</f>
        <v/>
      </c>
      <c r="I69" s="77">
        <f>IF(OR(G69="",NOT(ISNUMBER(C69))),"",C69-G69)</f>
        <v/>
      </c>
      <c r="J69" s="54">
        <f>IF(NOT(ISNUMBER(H69)),"",IF(NOT(ISNUMBER('設定'!$B$8)),"",IF('設定'!$B$8&lt;=0,"",IF(H69&gt;'設定'!$B$8,"目標超え","目標内"))))</f>
        <v/>
      </c>
      <c r="K69" s="79">
        <f>IF(TRIM(A69)="","",COUNTIF('レシピ'!$A$5:$A$604,A69))</f>
        <v/>
      </c>
      <c r="L69" s="31">
        <f>IF(AND(ISNUMBER(C69),ISNUMBER(E69)),C69*E69,"")</f>
        <v/>
      </c>
      <c r="M69" s="31">
        <f>IF(AND(ISNUMBER(G69),ISNUMBER(E69)),G69*E69,"")</f>
        <v/>
      </c>
      <c r="N69" s="33" t="n"/>
      <c r="O69" s="34">
        <f>IF(TRIM(A69)="",IF(COUNTA(B69:E69,N69)&gt;0,"メニュー名がありません",""),IF(COUNTIF($A$8:$A$107,A69)&gt;1,"同じメニュー名があります",IF(N(K69)=0,"レシピに材料がありません",IF(COUNTIFS('レシピ'!$A$5:$A$604,A69,'レシピ'!$F$5:$F$604,"&gt;=0")&lt;K69,"レシピに原価の出ない行があります（レシピの確認の列）",IF(NOT(ISNUMBER(C69)),"売価がありません","")))))</f>
        <v/>
      </c>
    </row>
    <row r="70" ht="17" customHeight="1">
      <c r="A70" s="38" t="n"/>
      <c r="B70" s="36" t="n"/>
      <c r="C70" s="40" t="n"/>
      <c r="D70" s="39" t="n"/>
      <c r="E70" s="39" t="n"/>
      <c r="F70" s="77">
        <f>IF(TRIM(A70)="","",SUMIF('レシピ'!$A$5:$A$604,A70,'レシピ'!$F$5:$F$604))</f>
        <v/>
      </c>
      <c r="G70" s="78">
        <f>IF(OR(TRIM(A70)="",N(K70)=0),"",IF(COUNTIFS('レシピ'!$A$5:$A$604,A70,'レシピ'!$F$5:$F$604,"&gt;=0")&lt;K70,"",F70/IF(ISNUMBER(D70),IF(D70&gt;0,D70,1),1)))</f>
        <v/>
      </c>
      <c r="H70" s="46">
        <f>IF(G70="","",IF(ISNUMBER(C70),IF(C70&gt;0,G70/C70,"－"),"－"))</f>
        <v/>
      </c>
      <c r="I70" s="77">
        <f>IF(OR(G70="",NOT(ISNUMBER(C70))),"",C70-G70)</f>
        <v/>
      </c>
      <c r="J70" s="54">
        <f>IF(NOT(ISNUMBER(H70)),"",IF(NOT(ISNUMBER('設定'!$B$8)),"",IF('設定'!$B$8&lt;=0,"",IF(H70&gt;'設定'!$B$8,"目標超え","目標内"))))</f>
        <v/>
      </c>
      <c r="K70" s="79">
        <f>IF(TRIM(A70)="","",COUNTIF('レシピ'!$A$5:$A$604,A70))</f>
        <v/>
      </c>
      <c r="L70" s="31">
        <f>IF(AND(ISNUMBER(C70),ISNUMBER(E70)),C70*E70,"")</f>
        <v/>
      </c>
      <c r="M70" s="31">
        <f>IF(AND(ISNUMBER(G70),ISNUMBER(E70)),G70*E70,"")</f>
        <v/>
      </c>
      <c r="N70" s="33" t="n"/>
      <c r="O70" s="34">
        <f>IF(TRIM(A70)="",IF(COUNTA(B70:E70,N70)&gt;0,"メニュー名がありません",""),IF(COUNTIF($A$8:$A$107,A70)&gt;1,"同じメニュー名があります",IF(N(K70)=0,"レシピに材料がありません",IF(COUNTIFS('レシピ'!$A$5:$A$604,A70,'レシピ'!$F$5:$F$604,"&gt;=0")&lt;K70,"レシピに原価の出ない行があります（レシピの確認の列）",IF(NOT(ISNUMBER(C70)),"売価がありません","")))))</f>
        <v/>
      </c>
    </row>
    <row r="71" ht="17" customHeight="1">
      <c r="A71" s="38" t="n"/>
      <c r="B71" s="36" t="n"/>
      <c r="C71" s="40" t="n"/>
      <c r="D71" s="39" t="n"/>
      <c r="E71" s="39" t="n"/>
      <c r="F71" s="77">
        <f>IF(TRIM(A71)="","",SUMIF('レシピ'!$A$5:$A$604,A71,'レシピ'!$F$5:$F$604))</f>
        <v/>
      </c>
      <c r="G71" s="78">
        <f>IF(OR(TRIM(A71)="",N(K71)=0),"",IF(COUNTIFS('レシピ'!$A$5:$A$604,A71,'レシピ'!$F$5:$F$604,"&gt;=0")&lt;K71,"",F71/IF(ISNUMBER(D71),IF(D71&gt;0,D71,1),1)))</f>
        <v/>
      </c>
      <c r="H71" s="46">
        <f>IF(G71="","",IF(ISNUMBER(C71),IF(C71&gt;0,G71/C71,"－"),"－"))</f>
        <v/>
      </c>
      <c r="I71" s="77">
        <f>IF(OR(G71="",NOT(ISNUMBER(C71))),"",C71-G71)</f>
        <v/>
      </c>
      <c r="J71" s="54">
        <f>IF(NOT(ISNUMBER(H71)),"",IF(NOT(ISNUMBER('設定'!$B$8)),"",IF('設定'!$B$8&lt;=0,"",IF(H71&gt;'設定'!$B$8,"目標超え","目標内"))))</f>
        <v/>
      </c>
      <c r="K71" s="79">
        <f>IF(TRIM(A71)="","",COUNTIF('レシピ'!$A$5:$A$604,A71))</f>
        <v/>
      </c>
      <c r="L71" s="31">
        <f>IF(AND(ISNUMBER(C71),ISNUMBER(E71)),C71*E71,"")</f>
        <v/>
      </c>
      <c r="M71" s="31">
        <f>IF(AND(ISNUMBER(G71),ISNUMBER(E71)),G71*E71,"")</f>
        <v/>
      </c>
      <c r="N71" s="33" t="n"/>
      <c r="O71" s="34">
        <f>IF(TRIM(A71)="",IF(COUNTA(B71:E71,N71)&gt;0,"メニュー名がありません",""),IF(COUNTIF($A$8:$A$107,A71)&gt;1,"同じメニュー名があります",IF(N(K71)=0,"レシピに材料がありません",IF(COUNTIFS('レシピ'!$A$5:$A$604,A71,'レシピ'!$F$5:$F$604,"&gt;=0")&lt;K71,"レシピに原価の出ない行があります（レシピの確認の列）",IF(NOT(ISNUMBER(C71)),"売価がありません","")))))</f>
        <v/>
      </c>
    </row>
    <row r="72" ht="17" customHeight="1">
      <c r="A72" s="38" t="n"/>
      <c r="B72" s="36" t="n"/>
      <c r="C72" s="40" t="n"/>
      <c r="D72" s="39" t="n"/>
      <c r="E72" s="39" t="n"/>
      <c r="F72" s="77">
        <f>IF(TRIM(A72)="","",SUMIF('レシピ'!$A$5:$A$604,A72,'レシピ'!$F$5:$F$604))</f>
        <v/>
      </c>
      <c r="G72" s="78">
        <f>IF(OR(TRIM(A72)="",N(K72)=0),"",IF(COUNTIFS('レシピ'!$A$5:$A$604,A72,'レシピ'!$F$5:$F$604,"&gt;=0")&lt;K72,"",F72/IF(ISNUMBER(D72),IF(D72&gt;0,D72,1),1)))</f>
        <v/>
      </c>
      <c r="H72" s="46">
        <f>IF(G72="","",IF(ISNUMBER(C72),IF(C72&gt;0,G72/C72,"－"),"－"))</f>
        <v/>
      </c>
      <c r="I72" s="77">
        <f>IF(OR(G72="",NOT(ISNUMBER(C72))),"",C72-G72)</f>
        <v/>
      </c>
      <c r="J72" s="54">
        <f>IF(NOT(ISNUMBER(H72)),"",IF(NOT(ISNUMBER('設定'!$B$8)),"",IF('設定'!$B$8&lt;=0,"",IF(H72&gt;'設定'!$B$8,"目標超え","目標内"))))</f>
        <v/>
      </c>
      <c r="K72" s="79">
        <f>IF(TRIM(A72)="","",COUNTIF('レシピ'!$A$5:$A$604,A72))</f>
        <v/>
      </c>
      <c r="L72" s="31">
        <f>IF(AND(ISNUMBER(C72),ISNUMBER(E72)),C72*E72,"")</f>
        <v/>
      </c>
      <c r="M72" s="31">
        <f>IF(AND(ISNUMBER(G72),ISNUMBER(E72)),G72*E72,"")</f>
        <v/>
      </c>
      <c r="N72" s="33" t="n"/>
      <c r="O72" s="34">
        <f>IF(TRIM(A72)="",IF(COUNTA(B72:E72,N72)&gt;0,"メニュー名がありません",""),IF(COUNTIF($A$8:$A$107,A72)&gt;1,"同じメニュー名があります",IF(N(K72)=0,"レシピに材料がありません",IF(COUNTIFS('レシピ'!$A$5:$A$604,A72,'レシピ'!$F$5:$F$604,"&gt;=0")&lt;K72,"レシピに原価の出ない行があります（レシピの確認の列）",IF(NOT(ISNUMBER(C72)),"売価がありません","")))))</f>
        <v/>
      </c>
    </row>
    <row r="73" ht="17" customHeight="1">
      <c r="A73" s="38" t="n"/>
      <c r="B73" s="36" t="n"/>
      <c r="C73" s="40" t="n"/>
      <c r="D73" s="39" t="n"/>
      <c r="E73" s="39" t="n"/>
      <c r="F73" s="77">
        <f>IF(TRIM(A73)="","",SUMIF('レシピ'!$A$5:$A$604,A73,'レシピ'!$F$5:$F$604))</f>
        <v/>
      </c>
      <c r="G73" s="78">
        <f>IF(OR(TRIM(A73)="",N(K73)=0),"",IF(COUNTIFS('レシピ'!$A$5:$A$604,A73,'レシピ'!$F$5:$F$604,"&gt;=0")&lt;K73,"",F73/IF(ISNUMBER(D73),IF(D73&gt;0,D73,1),1)))</f>
        <v/>
      </c>
      <c r="H73" s="46">
        <f>IF(G73="","",IF(ISNUMBER(C73),IF(C73&gt;0,G73/C73,"－"),"－"))</f>
        <v/>
      </c>
      <c r="I73" s="77">
        <f>IF(OR(G73="",NOT(ISNUMBER(C73))),"",C73-G73)</f>
        <v/>
      </c>
      <c r="J73" s="54">
        <f>IF(NOT(ISNUMBER(H73)),"",IF(NOT(ISNUMBER('設定'!$B$8)),"",IF('設定'!$B$8&lt;=0,"",IF(H73&gt;'設定'!$B$8,"目標超え","目標内"))))</f>
        <v/>
      </c>
      <c r="K73" s="79">
        <f>IF(TRIM(A73)="","",COUNTIF('レシピ'!$A$5:$A$604,A73))</f>
        <v/>
      </c>
      <c r="L73" s="31">
        <f>IF(AND(ISNUMBER(C73),ISNUMBER(E73)),C73*E73,"")</f>
        <v/>
      </c>
      <c r="M73" s="31">
        <f>IF(AND(ISNUMBER(G73),ISNUMBER(E73)),G73*E73,"")</f>
        <v/>
      </c>
      <c r="N73" s="33" t="n"/>
      <c r="O73" s="34">
        <f>IF(TRIM(A73)="",IF(COUNTA(B73:E73,N73)&gt;0,"メニュー名がありません",""),IF(COUNTIF($A$8:$A$107,A73)&gt;1,"同じメニュー名があります",IF(N(K73)=0,"レシピに材料がありません",IF(COUNTIFS('レシピ'!$A$5:$A$604,A73,'レシピ'!$F$5:$F$604,"&gt;=0")&lt;K73,"レシピに原価の出ない行があります（レシピの確認の列）",IF(NOT(ISNUMBER(C73)),"売価がありません","")))))</f>
        <v/>
      </c>
    </row>
    <row r="74" ht="17" customHeight="1">
      <c r="A74" s="38" t="n"/>
      <c r="B74" s="36" t="n"/>
      <c r="C74" s="40" t="n"/>
      <c r="D74" s="39" t="n"/>
      <c r="E74" s="39" t="n"/>
      <c r="F74" s="77">
        <f>IF(TRIM(A74)="","",SUMIF('レシピ'!$A$5:$A$604,A74,'レシピ'!$F$5:$F$604))</f>
        <v/>
      </c>
      <c r="G74" s="78">
        <f>IF(OR(TRIM(A74)="",N(K74)=0),"",IF(COUNTIFS('レシピ'!$A$5:$A$604,A74,'レシピ'!$F$5:$F$604,"&gt;=0")&lt;K74,"",F74/IF(ISNUMBER(D74),IF(D74&gt;0,D74,1),1)))</f>
        <v/>
      </c>
      <c r="H74" s="46">
        <f>IF(G74="","",IF(ISNUMBER(C74),IF(C74&gt;0,G74/C74,"－"),"－"))</f>
        <v/>
      </c>
      <c r="I74" s="77">
        <f>IF(OR(G74="",NOT(ISNUMBER(C74))),"",C74-G74)</f>
        <v/>
      </c>
      <c r="J74" s="54">
        <f>IF(NOT(ISNUMBER(H74)),"",IF(NOT(ISNUMBER('設定'!$B$8)),"",IF('設定'!$B$8&lt;=0,"",IF(H74&gt;'設定'!$B$8,"目標超え","目標内"))))</f>
        <v/>
      </c>
      <c r="K74" s="79">
        <f>IF(TRIM(A74)="","",COUNTIF('レシピ'!$A$5:$A$604,A74))</f>
        <v/>
      </c>
      <c r="L74" s="31">
        <f>IF(AND(ISNUMBER(C74),ISNUMBER(E74)),C74*E74,"")</f>
        <v/>
      </c>
      <c r="M74" s="31">
        <f>IF(AND(ISNUMBER(G74),ISNUMBER(E74)),G74*E74,"")</f>
        <v/>
      </c>
      <c r="N74" s="33" t="n"/>
      <c r="O74" s="34">
        <f>IF(TRIM(A74)="",IF(COUNTA(B74:E74,N74)&gt;0,"メニュー名がありません",""),IF(COUNTIF($A$8:$A$107,A74)&gt;1,"同じメニュー名があります",IF(N(K74)=0,"レシピに材料がありません",IF(COUNTIFS('レシピ'!$A$5:$A$604,A74,'レシピ'!$F$5:$F$604,"&gt;=0")&lt;K74,"レシピに原価の出ない行があります（レシピの確認の列）",IF(NOT(ISNUMBER(C74)),"売価がありません","")))))</f>
        <v/>
      </c>
    </row>
    <row r="75" ht="17" customHeight="1">
      <c r="A75" s="38" t="n"/>
      <c r="B75" s="36" t="n"/>
      <c r="C75" s="40" t="n"/>
      <c r="D75" s="39" t="n"/>
      <c r="E75" s="39" t="n"/>
      <c r="F75" s="77">
        <f>IF(TRIM(A75)="","",SUMIF('レシピ'!$A$5:$A$604,A75,'レシピ'!$F$5:$F$604))</f>
        <v/>
      </c>
      <c r="G75" s="78">
        <f>IF(OR(TRIM(A75)="",N(K75)=0),"",IF(COUNTIFS('レシピ'!$A$5:$A$604,A75,'レシピ'!$F$5:$F$604,"&gt;=0")&lt;K75,"",F75/IF(ISNUMBER(D75),IF(D75&gt;0,D75,1),1)))</f>
        <v/>
      </c>
      <c r="H75" s="46">
        <f>IF(G75="","",IF(ISNUMBER(C75),IF(C75&gt;0,G75/C75,"－"),"－"))</f>
        <v/>
      </c>
      <c r="I75" s="77">
        <f>IF(OR(G75="",NOT(ISNUMBER(C75))),"",C75-G75)</f>
        <v/>
      </c>
      <c r="J75" s="54">
        <f>IF(NOT(ISNUMBER(H75)),"",IF(NOT(ISNUMBER('設定'!$B$8)),"",IF('設定'!$B$8&lt;=0,"",IF(H75&gt;'設定'!$B$8,"目標超え","目標内"))))</f>
        <v/>
      </c>
      <c r="K75" s="79">
        <f>IF(TRIM(A75)="","",COUNTIF('レシピ'!$A$5:$A$604,A75))</f>
        <v/>
      </c>
      <c r="L75" s="31">
        <f>IF(AND(ISNUMBER(C75),ISNUMBER(E75)),C75*E75,"")</f>
        <v/>
      </c>
      <c r="M75" s="31">
        <f>IF(AND(ISNUMBER(G75),ISNUMBER(E75)),G75*E75,"")</f>
        <v/>
      </c>
      <c r="N75" s="33" t="n"/>
      <c r="O75" s="34">
        <f>IF(TRIM(A75)="",IF(COUNTA(B75:E75,N75)&gt;0,"メニュー名がありません",""),IF(COUNTIF($A$8:$A$107,A75)&gt;1,"同じメニュー名があります",IF(N(K75)=0,"レシピに材料がありません",IF(COUNTIFS('レシピ'!$A$5:$A$604,A75,'レシピ'!$F$5:$F$604,"&gt;=0")&lt;K75,"レシピに原価の出ない行があります（レシピの確認の列）",IF(NOT(ISNUMBER(C75)),"売価がありません","")))))</f>
        <v/>
      </c>
    </row>
    <row r="76" ht="17" customHeight="1">
      <c r="A76" s="38" t="n"/>
      <c r="B76" s="36" t="n"/>
      <c r="C76" s="40" t="n"/>
      <c r="D76" s="39" t="n"/>
      <c r="E76" s="39" t="n"/>
      <c r="F76" s="77">
        <f>IF(TRIM(A76)="","",SUMIF('レシピ'!$A$5:$A$604,A76,'レシピ'!$F$5:$F$604))</f>
        <v/>
      </c>
      <c r="G76" s="78">
        <f>IF(OR(TRIM(A76)="",N(K76)=0),"",IF(COUNTIFS('レシピ'!$A$5:$A$604,A76,'レシピ'!$F$5:$F$604,"&gt;=0")&lt;K76,"",F76/IF(ISNUMBER(D76),IF(D76&gt;0,D76,1),1)))</f>
        <v/>
      </c>
      <c r="H76" s="46">
        <f>IF(G76="","",IF(ISNUMBER(C76),IF(C76&gt;0,G76/C76,"－"),"－"))</f>
        <v/>
      </c>
      <c r="I76" s="77">
        <f>IF(OR(G76="",NOT(ISNUMBER(C76))),"",C76-G76)</f>
        <v/>
      </c>
      <c r="J76" s="54">
        <f>IF(NOT(ISNUMBER(H76)),"",IF(NOT(ISNUMBER('設定'!$B$8)),"",IF('設定'!$B$8&lt;=0,"",IF(H76&gt;'設定'!$B$8,"目標超え","目標内"))))</f>
        <v/>
      </c>
      <c r="K76" s="79">
        <f>IF(TRIM(A76)="","",COUNTIF('レシピ'!$A$5:$A$604,A76))</f>
        <v/>
      </c>
      <c r="L76" s="31">
        <f>IF(AND(ISNUMBER(C76),ISNUMBER(E76)),C76*E76,"")</f>
        <v/>
      </c>
      <c r="M76" s="31">
        <f>IF(AND(ISNUMBER(G76),ISNUMBER(E76)),G76*E76,"")</f>
        <v/>
      </c>
      <c r="N76" s="33" t="n"/>
      <c r="O76" s="34">
        <f>IF(TRIM(A76)="",IF(COUNTA(B76:E76,N76)&gt;0,"メニュー名がありません",""),IF(COUNTIF($A$8:$A$107,A76)&gt;1,"同じメニュー名があります",IF(N(K76)=0,"レシピに材料がありません",IF(COUNTIFS('レシピ'!$A$5:$A$604,A76,'レシピ'!$F$5:$F$604,"&gt;=0")&lt;K76,"レシピに原価の出ない行があります（レシピの確認の列）",IF(NOT(ISNUMBER(C76)),"売価がありません","")))))</f>
        <v/>
      </c>
    </row>
    <row r="77" ht="17" customHeight="1">
      <c r="A77" s="38" t="n"/>
      <c r="B77" s="36" t="n"/>
      <c r="C77" s="40" t="n"/>
      <c r="D77" s="39" t="n"/>
      <c r="E77" s="39" t="n"/>
      <c r="F77" s="77">
        <f>IF(TRIM(A77)="","",SUMIF('レシピ'!$A$5:$A$604,A77,'レシピ'!$F$5:$F$604))</f>
        <v/>
      </c>
      <c r="G77" s="78">
        <f>IF(OR(TRIM(A77)="",N(K77)=0),"",IF(COUNTIFS('レシピ'!$A$5:$A$604,A77,'レシピ'!$F$5:$F$604,"&gt;=0")&lt;K77,"",F77/IF(ISNUMBER(D77),IF(D77&gt;0,D77,1),1)))</f>
        <v/>
      </c>
      <c r="H77" s="46">
        <f>IF(G77="","",IF(ISNUMBER(C77),IF(C77&gt;0,G77/C77,"－"),"－"))</f>
        <v/>
      </c>
      <c r="I77" s="77">
        <f>IF(OR(G77="",NOT(ISNUMBER(C77))),"",C77-G77)</f>
        <v/>
      </c>
      <c r="J77" s="54">
        <f>IF(NOT(ISNUMBER(H77)),"",IF(NOT(ISNUMBER('設定'!$B$8)),"",IF('設定'!$B$8&lt;=0,"",IF(H77&gt;'設定'!$B$8,"目標超え","目標内"))))</f>
        <v/>
      </c>
      <c r="K77" s="79">
        <f>IF(TRIM(A77)="","",COUNTIF('レシピ'!$A$5:$A$604,A77))</f>
        <v/>
      </c>
      <c r="L77" s="31">
        <f>IF(AND(ISNUMBER(C77),ISNUMBER(E77)),C77*E77,"")</f>
        <v/>
      </c>
      <c r="M77" s="31">
        <f>IF(AND(ISNUMBER(G77),ISNUMBER(E77)),G77*E77,"")</f>
        <v/>
      </c>
      <c r="N77" s="33" t="n"/>
      <c r="O77" s="34">
        <f>IF(TRIM(A77)="",IF(COUNTA(B77:E77,N77)&gt;0,"メニュー名がありません",""),IF(COUNTIF($A$8:$A$107,A77)&gt;1,"同じメニュー名があります",IF(N(K77)=0,"レシピに材料がありません",IF(COUNTIFS('レシピ'!$A$5:$A$604,A77,'レシピ'!$F$5:$F$604,"&gt;=0")&lt;K77,"レシピに原価の出ない行があります（レシピの確認の列）",IF(NOT(ISNUMBER(C77)),"売価がありません","")))))</f>
        <v/>
      </c>
    </row>
    <row r="78" ht="17" customHeight="1">
      <c r="A78" s="38" t="n"/>
      <c r="B78" s="36" t="n"/>
      <c r="C78" s="40" t="n"/>
      <c r="D78" s="39" t="n"/>
      <c r="E78" s="39" t="n"/>
      <c r="F78" s="77">
        <f>IF(TRIM(A78)="","",SUMIF('レシピ'!$A$5:$A$604,A78,'レシピ'!$F$5:$F$604))</f>
        <v/>
      </c>
      <c r="G78" s="78">
        <f>IF(OR(TRIM(A78)="",N(K78)=0),"",IF(COUNTIFS('レシピ'!$A$5:$A$604,A78,'レシピ'!$F$5:$F$604,"&gt;=0")&lt;K78,"",F78/IF(ISNUMBER(D78),IF(D78&gt;0,D78,1),1)))</f>
        <v/>
      </c>
      <c r="H78" s="46">
        <f>IF(G78="","",IF(ISNUMBER(C78),IF(C78&gt;0,G78/C78,"－"),"－"))</f>
        <v/>
      </c>
      <c r="I78" s="77">
        <f>IF(OR(G78="",NOT(ISNUMBER(C78))),"",C78-G78)</f>
        <v/>
      </c>
      <c r="J78" s="54">
        <f>IF(NOT(ISNUMBER(H78)),"",IF(NOT(ISNUMBER('設定'!$B$8)),"",IF('設定'!$B$8&lt;=0,"",IF(H78&gt;'設定'!$B$8,"目標超え","目標内"))))</f>
        <v/>
      </c>
      <c r="K78" s="79">
        <f>IF(TRIM(A78)="","",COUNTIF('レシピ'!$A$5:$A$604,A78))</f>
        <v/>
      </c>
      <c r="L78" s="31">
        <f>IF(AND(ISNUMBER(C78),ISNUMBER(E78)),C78*E78,"")</f>
        <v/>
      </c>
      <c r="M78" s="31">
        <f>IF(AND(ISNUMBER(G78),ISNUMBER(E78)),G78*E78,"")</f>
        <v/>
      </c>
      <c r="N78" s="33" t="n"/>
      <c r="O78" s="34">
        <f>IF(TRIM(A78)="",IF(COUNTA(B78:E78,N78)&gt;0,"メニュー名がありません",""),IF(COUNTIF($A$8:$A$107,A78)&gt;1,"同じメニュー名があります",IF(N(K78)=0,"レシピに材料がありません",IF(COUNTIFS('レシピ'!$A$5:$A$604,A78,'レシピ'!$F$5:$F$604,"&gt;=0")&lt;K78,"レシピに原価の出ない行があります（レシピの確認の列）",IF(NOT(ISNUMBER(C78)),"売価がありません","")))))</f>
        <v/>
      </c>
    </row>
    <row r="79" ht="17" customHeight="1">
      <c r="A79" s="38" t="n"/>
      <c r="B79" s="36" t="n"/>
      <c r="C79" s="40" t="n"/>
      <c r="D79" s="39" t="n"/>
      <c r="E79" s="39" t="n"/>
      <c r="F79" s="77">
        <f>IF(TRIM(A79)="","",SUMIF('レシピ'!$A$5:$A$604,A79,'レシピ'!$F$5:$F$604))</f>
        <v/>
      </c>
      <c r="G79" s="78">
        <f>IF(OR(TRIM(A79)="",N(K79)=0),"",IF(COUNTIFS('レシピ'!$A$5:$A$604,A79,'レシピ'!$F$5:$F$604,"&gt;=0")&lt;K79,"",F79/IF(ISNUMBER(D79),IF(D79&gt;0,D79,1),1)))</f>
        <v/>
      </c>
      <c r="H79" s="46">
        <f>IF(G79="","",IF(ISNUMBER(C79),IF(C79&gt;0,G79/C79,"－"),"－"))</f>
        <v/>
      </c>
      <c r="I79" s="77">
        <f>IF(OR(G79="",NOT(ISNUMBER(C79))),"",C79-G79)</f>
        <v/>
      </c>
      <c r="J79" s="54">
        <f>IF(NOT(ISNUMBER(H79)),"",IF(NOT(ISNUMBER('設定'!$B$8)),"",IF('設定'!$B$8&lt;=0,"",IF(H79&gt;'設定'!$B$8,"目標超え","目標内"))))</f>
        <v/>
      </c>
      <c r="K79" s="79">
        <f>IF(TRIM(A79)="","",COUNTIF('レシピ'!$A$5:$A$604,A79))</f>
        <v/>
      </c>
      <c r="L79" s="31">
        <f>IF(AND(ISNUMBER(C79),ISNUMBER(E79)),C79*E79,"")</f>
        <v/>
      </c>
      <c r="M79" s="31">
        <f>IF(AND(ISNUMBER(G79),ISNUMBER(E79)),G79*E79,"")</f>
        <v/>
      </c>
      <c r="N79" s="33" t="n"/>
      <c r="O79" s="34">
        <f>IF(TRIM(A79)="",IF(COUNTA(B79:E79,N79)&gt;0,"メニュー名がありません",""),IF(COUNTIF($A$8:$A$107,A79)&gt;1,"同じメニュー名があります",IF(N(K79)=0,"レシピに材料がありません",IF(COUNTIFS('レシピ'!$A$5:$A$604,A79,'レシピ'!$F$5:$F$604,"&gt;=0")&lt;K79,"レシピに原価の出ない行があります（レシピの確認の列）",IF(NOT(ISNUMBER(C79)),"売価がありません","")))))</f>
        <v/>
      </c>
    </row>
    <row r="80" ht="17" customHeight="1">
      <c r="A80" s="38" t="n"/>
      <c r="B80" s="36" t="n"/>
      <c r="C80" s="40" t="n"/>
      <c r="D80" s="39" t="n"/>
      <c r="E80" s="39" t="n"/>
      <c r="F80" s="77">
        <f>IF(TRIM(A80)="","",SUMIF('レシピ'!$A$5:$A$604,A80,'レシピ'!$F$5:$F$604))</f>
        <v/>
      </c>
      <c r="G80" s="78">
        <f>IF(OR(TRIM(A80)="",N(K80)=0),"",IF(COUNTIFS('レシピ'!$A$5:$A$604,A80,'レシピ'!$F$5:$F$604,"&gt;=0")&lt;K80,"",F80/IF(ISNUMBER(D80),IF(D80&gt;0,D80,1),1)))</f>
        <v/>
      </c>
      <c r="H80" s="46">
        <f>IF(G80="","",IF(ISNUMBER(C80),IF(C80&gt;0,G80/C80,"－"),"－"))</f>
        <v/>
      </c>
      <c r="I80" s="77">
        <f>IF(OR(G80="",NOT(ISNUMBER(C80))),"",C80-G80)</f>
        <v/>
      </c>
      <c r="J80" s="54">
        <f>IF(NOT(ISNUMBER(H80)),"",IF(NOT(ISNUMBER('設定'!$B$8)),"",IF('設定'!$B$8&lt;=0,"",IF(H80&gt;'設定'!$B$8,"目標超え","目標内"))))</f>
        <v/>
      </c>
      <c r="K80" s="79">
        <f>IF(TRIM(A80)="","",COUNTIF('レシピ'!$A$5:$A$604,A80))</f>
        <v/>
      </c>
      <c r="L80" s="31">
        <f>IF(AND(ISNUMBER(C80),ISNUMBER(E80)),C80*E80,"")</f>
        <v/>
      </c>
      <c r="M80" s="31">
        <f>IF(AND(ISNUMBER(G80),ISNUMBER(E80)),G80*E80,"")</f>
        <v/>
      </c>
      <c r="N80" s="33" t="n"/>
      <c r="O80" s="34">
        <f>IF(TRIM(A80)="",IF(COUNTA(B80:E80,N80)&gt;0,"メニュー名がありません",""),IF(COUNTIF($A$8:$A$107,A80)&gt;1,"同じメニュー名があります",IF(N(K80)=0,"レシピに材料がありません",IF(COUNTIFS('レシピ'!$A$5:$A$604,A80,'レシピ'!$F$5:$F$604,"&gt;=0")&lt;K80,"レシピに原価の出ない行があります（レシピの確認の列）",IF(NOT(ISNUMBER(C80)),"売価がありません","")))))</f>
        <v/>
      </c>
    </row>
    <row r="81" ht="17" customHeight="1">
      <c r="A81" s="38" t="n"/>
      <c r="B81" s="36" t="n"/>
      <c r="C81" s="40" t="n"/>
      <c r="D81" s="39" t="n"/>
      <c r="E81" s="39" t="n"/>
      <c r="F81" s="77">
        <f>IF(TRIM(A81)="","",SUMIF('レシピ'!$A$5:$A$604,A81,'レシピ'!$F$5:$F$604))</f>
        <v/>
      </c>
      <c r="G81" s="78">
        <f>IF(OR(TRIM(A81)="",N(K81)=0),"",IF(COUNTIFS('レシピ'!$A$5:$A$604,A81,'レシピ'!$F$5:$F$604,"&gt;=0")&lt;K81,"",F81/IF(ISNUMBER(D81),IF(D81&gt;0,D81,1),1)))</f>
        <v/>
      </c>
      <c r="H81" s="46">
        <f>IF(G81="","",IF(ISNUMBER(C81),IF(C81&gt;0,G81/C81,"－"),"－"))</f>
        <v/>
      </c>
      <c r="I81" s="77">
        <f>IF(OR(G81="",NOT(ISNUMBER(C81))),"",C81-G81)</f>
        <v/>
      </c>
      <c r="J81" s="54">
        <f>IF(NOT(ISNUMBER(H81)),"",IF(NOT(ISNUMBER('設定'!$B$8)),"",IF('設定'!$B$8&lt;=0,"",IF(H81&gt;'設定'!$B$8,"目標超え","目標内"))))</f>
        <v/>
      </c>
      <c r="K81" s="79">
        <f>IF(TRIM(A81)="","",COUNTIF('レシピ'!$A$5:$A$604,A81))</f>
        <v/>
      </c>
      <c r="L81" s="31">
        <f>IF(AND(ISNUMBER(C81),ISNUMBER(E81)),C81*E81,"")</f>
        <v/>
      </c>
      <c r="M81" s="31">
        <f>IF(AND(ISNUMBER(G81),ISNUMBER(E81)),G81*E81,"")</f>
        <v/>
      </c>
      <c r="N81" s="33" t="n"/>
      <c r="O81" s="34">
        <f>IF(TRIM(A81)="",IF(COUNTA(B81:E81,N81)&gt;0,"メニュー名がありません",""),IF(COUNTIF($A$8:$A$107,A81)&gt;1,"同じメニュー名があります",IF(N(K81)=0,"レシピに材料がありません",IF(COUNTIFS('レシピ'!$A$5:$A$604,A81,'レシピ'!$F$5:$F$604,"&gt;=0")&lt;K81,"レシピに原価の出ない行があります（レシピの確認の列）",IF(NOT(ISNUMBER(C81)),"売価がありません","")))))</f>
        <v/>
      </c>
    </row>
    <row r="82" ht="17" customHeight="1">
      <c r="A82" s="38" t="n"/>
      <c r="B82" s="36" t="n"/>
      <c r="C82" s="40" t="n"/>
      <c r="D82" s="39" t="n"/>
      <c r="E82" s="39" t="n"/>
      <c r="F82" s="77">
        <f>IF(TRIM(A82)="","",SUMIF('レシピ'!$A$5:$A$604,A82,'レシピ'!$F$5:$F$604))</f>
        <v/>
      </c>
      <c r="G82" s="78">
        <f>IF(OR(TRIM(A82)="",N(K82)=0),"",IF(COUNTIFS('レシピ'!$A$5:$A$604,A82,'レシピ'!$F$5:$F$604,"&gt;=0")&lt;K82,"",F82/IF(ISNUMBER(D82),IF(D82&gt;0,D82,1),1)))</f>
        <v/>
      </c>
      <c r="H82" s="46">
        <f>IF(G82="","",IF(ISNUMBER(C82),IF(C82&gt;0,G82/C82,"－"),"－"))</f>
        <v/>
      </c>
      <c r="I82" s="77">
        <f>IF(OR(G82="",NOT(ISNUMBER(C82))),"",C82-G82)</f>
        <v/>
      </c>
      <c r="J82" s="54">
        <f>IF(NOT(ISNUMBER(H82)),"",IF(NOT(ISNUMBER('設定'!$B$8)),"",IF('設定'!$B$8&lt;=0,"",IF(H82&gt;'設定'!$B$8,"目標超え","目標内"))))</f>
        <v/>
      </c>
      <c r="K82" s="79">
        <f>IF(TRIM(A82)="","",COUNTIF('レシピ'!$A$5:$A$604,A82))</f>
        <v/>
      </c>
      <c r="L82" s="31">
        <f>IF(AND(ISNUMBER(C82),ISNUMBER(E82)),C82*E82,"")</f>
        <v/>
      </c>
      <c r="M82" s="31">
        <f>IF(AND(ISNUMBER(G82),ISNUMBER(E82)),G82*E82,"")</f>
        <v/>
      </c>
      <c r="N82" s="33" t="n"/>
      <c r="O82" s="34">
        <f>IF(TRIM(A82)="",IF(COUNTA(B82:E82,N82)&gt;0,"メニュー名がありません",""),IF(COUNTIF($A$8:$A$107,A82)&gt;1,"同じメニュー名があります",IF(N(K82)=0,"レシピに材料がありません",IF(COUNTIFS('レシピ'!$A$5:$A$604,A82,'レシピ'!$F$5:$F$604,"&gt;=0")&lt;K82,"レシピに原価の出ない行があります（レシピの確認の列）",IF(NOT(ISNUMBER(C82)),"売価がありません","")))))</f>
        <v/>
      </c>
    </row>
    <row r="83" ht="17" customHeight="1">
      <c r="A83" s="38" t="n"/>
      <c r="B83" s="36" t="n"/>
      <c r="C83" s="40" t="n"/>
      <c r="D83" s="39" t="n"/>
      <c r="E83" s="39" t="n"/>
      <c r="F83" s="77">
        <f>IF(TRIM(A83)="","",SUMIF('レシピ'!$A$5:$A$604,A83,'レシピ'!$F$5:$F$604))</f>
        <v/>
      </c>
      <c r="G83" s="78">
        <f>IF(OR(TRIM(A83)="",N(K83)=0),"",IF(COUNTIFS('レシピ'!$A$5:$A$604,A83,'レシピ'!$F$5:$F$604,"&gt;=0")&lt;K83,"",F83/IF(ISNUMBER(D83),IF(D83&gt;0,D83,1),1)))</f>
        <v/>
      </c>
      <c r="H83" s="46">
        <f>IF(G83="","",IF(ISNUMBER(C83),IF(C83&gt;0,G83/C83,"－"),"－"))</f>
        <v/>
      </c>
      <c r="I83" s="77">
        <f>IF(OR(G83="",NOT(ISNUMBER(C83))),"",C83-G83)</f>
        <v/>
      </c>
      <c r="J83" s="54">
        <f>IF(NOT(ISNUMBER(H83)),"",IF(NOT(ISNUMBER('設定'!$B$8)),"",IF('設定'!$B$8&lt;=0,"",IF(H83&gt;'設定'!$B$8,"目標超え","目標内"))))</f>
        <v/>
      </c>
      <c r="K83" s="79">
        <f>IF(TRIM(A83)="","",COUNTIF('レシピ'!$A$5:$A$604,A83))</f>
        <v/>
      </c>
      <c r="L83" s="31">
        <f>IF(AND(ISNUMBER(C83),ISNUMBER(E83)),C83*E83,"")</f>
        <v/>
      </c>
      <c r="M83" s="31">
        <f>IF(AND(ISNUMBER(G83),ISNUMBER(E83)),G83*E83,"")</f>
        <v/>
      </c>
      <c r="N83" s="33" t="n"/>
      <c r="O83" s="34">
        <f>IF(TRIM(A83)="",IF(COUNTA(B83:E83,N83)&gt;0,"メニュー名がありません",""),IF(COUNTIF($A$8:$A$107,A83)&gt;1,"同じメニュー名があります",IF(N(K83)=0,"レシピに材料がありません",IF(COUNTIFS('レシピ'!$A$5:$A$604,A83,'レシピ'!$F$5:$F$604,"&gt;=0")&lt;K83,"レシピに原価の出ない行があります（レシピの確認の列）",IF(NOT(ISNUMBER(C83)),"売価がありません","")))))</f>
        <v/>
      </c>
    </row>
    <row r="84" ht="17" customHeight="1">
      <c r="A84" s="38" t="n"/>
      <c r="B84" s="36" t="n"/>
      <c r="C84" s="40" t="n"/>
      <c r="D84" s="39" t="n"/>
      <c r="E84" s="39" t="n"/>
      <c r="F84" s="77">
        <f>IF(TRIM(A84)="","",SUMIF('レシピ'!$A$5:$A$604,A84,'レシピ'!$F$5:$F$604))</f>
        <v/>
      </c>
      <c r="G84" s="78">
        <f>IF(OR(TRIM(A84)="",N(K84)=0),"",IF(COUNTIFS('レシピ'!$A$5:$A$604,A84,'レシピ'!$F$5:$F$604,"&gt;=0")&lt;K84,"",F84/IF(ISNUMBER(D84),IF(D84&gt;0,D84,1),1)))</f>
        <v/>
      </c>
      <c r="H84" s="46">
        <f>IF(G84="","",IF(ISNUMBER(C84),IF(C84&gt;0,G84/C84,"－"),"－"))</f>
        <v/>
      </c>
      <c r="I84" s="77">
        <f>IF(OR(G84="",NOT(ISNUMBER(C84))),"",C84-G84)</f>
        <v/>
      </c>
      <c r="J84" s="54">
        <f>IF(NOT(ISNUMBER(H84)),"",IF(NOT(ISNUMBER('設定'!$B$8)),"",IF('設定'!$B$8&lt;=0,"",IF(H84&gt;'設定'!$B$8,"目標超え","目標内"))))</f>
        <v/>
      </c>
      <c r="K84" s="79">
        <f>IF(TRIM(A84)="","",COUNTIF('レシピ'!$A$5:$A$604,A84))</f>
        <v/>
      </c>
      <c r="L84" s="31">
        <f>IF(AND(ISNUMBER(C84),ISNUMBER(E84)),C84*E84,"")</f>
        <v/>
      </c>
      <c r="M84" s="31">
        <f>IF(AND(ISNUMBER(G84),ISNUMBER(E84)),G84*E84,"")</f>
        <v/>
      </c>
      <c r="N84" s="33" t="n"/>
      <c r="O84" s="34">
        <f>IF(TRIM(A84)="",IF(COUNTA(B84:E84,N84)&gt;0,"メニュー名がありません",""),IF(COUNTIF($A$8:$A$107,A84)&gt;1,"同じメニュー名があります",IF(N(K84)=0,"レシピに材料がありません",IF(COUNTIFS('レシピ'!$A$5:$A$604,A84,'レシピ'!$F$5:$F$604,"&gt;=0")&lt;K84,"レシピに原価の出ない行があります（レシピの確認の列）",IF(NOT(ISNUMBER(C84)),"売価がありません","")))))</f>
        <v/>
      </c>
    </row>
    <row r="85" ht="17" customHeight="1">
      <c r="A85" s="38" t="n"/>
      <c r="B85" s="36" t="n"/>
      <c r="C85" s="40" t="n"/>
      <c r="D85" s="39" t="n"/>
      <c r="E85" s="39" t="n"/>
      <c r="F85" s="77">
        <f>IF(TRIM(A85)="","",SUMIF('レシピ'!$A$5:$A$604,A85,'レシピ'!$F$5:$F$604))</f>
        <v/>
      </c>
      <c r="G85" s="78">
        <f>IF(OR(TRIM(A85)="",N(K85)=0),"",IF(COUNTIFS('レシピ'!$A$5:$A$604,A85,'レシピ'!$F$5:$F$604,"&gt;=0")&lt;K85,"",F85/IF(ISNUMBER(D85),IF(D85&gt;0,D85,1),1)))</f>
        <v/>
      </c>
      <c r="H85" s="46">
        <f>IF(G85="","",IF(ISNUMBER(C85),IF(C85&gt;0,G85/C85,"－"),"－"))</f>
        <v/>
      </c>
      <c r="I85" s="77">
        <f>IF(OR(G85="",NOT(ISNUMBER(C85))),"",C85-G85)</f>
        <v/>
      </c>
      <c r="J85" s="54">
        <f>IF(NOT(ISNUMBER(H85)),"",IF(NOT(ISNUMBER('設定'!$B$8)),"",IF('設定'!$B$8&lt;=0,"",IF(H85&gt;'設定'!$B$8,"目標超え","目標内"))))</f>
        <v/>
      </c>
      <c r="K85" s="79">
        <f>IF(TRIM(A85)="","",COUNTIF('レシピ'!$A$5:$A$604,A85))</f>
        <v/>
      </c>
      <c r="L85" s="31">
        <f>IF(AND(ISNUMBER(C85),ISNUMBER(E85)),C85*E85,"")</f>
        <v/>
      </c>
      <c r="M85" s="31">
        <f>IF(AND(ISNUMBER(G85),ISNUMBER(E85)),G85*E85,"")</f>
        <v/>
      </c>
      <c r="N85" s="33" t="n"/>
      <c r="O85" s="34">
        <f>IF(TRIM(A85)="",IF(COUNTA(B85:E85,N85)&gt;0,"メニュー名がありません",""),IF(COUNTIF($A$8:$A$107,A85)&gt;1,"同じメニュー名があります",IF(N(K85)=0,"レシピに材料がありません",IF(COUNTIFS('レシピ'!$A$5:$A$604,A85,'レシピ'!$F$5:$F$604,"&gt;=0")&lt;K85,"レシピに原価の出ない行があります（レシピの確認の列）",IF(NOT(ISNUMBER(C85)),"売価がありません","")))))</f>
        <v/>
      </c>
    </row>
    <row r="86" ht="17" customHeight="1">
      <c r="A86" s="38" t="n"/>
      <c r="B86" s="36" t="n"/>
      <c r="C86" s="40" t="n"/>
      <c r="D86" s="39" t="n"/>
      <c r="E86" s="39" t="n"/>
      <c r="F86" s="77">
        <f>IF(TRIM(A86)="","",SUMIF('レシピ'!$A$5:$A$604,A86,'レシピ'!$F$5:$F$604))</f>
        <v/>
      </c>
      <c r="G86" s="78">
        <f>IF(OR(TRIM(A86)="",N(K86)=0),"",IF(COUNTIFS('レシピ'!$A$5:$A$604,A86,'レシピ'!$F$5:$F$604,"&gt;=0")&lt;K86,"",F86/IF(ISNUMBER(D86),IF(D86&gt;0,D86,1),1)))</f>
        <v/>
      </c>
      <c r="H86" s="46">
        <f>IF(G86="","",IF(ISNUMBER(C86),IF(C86&gt;0,G86/C86,"－"),"－"))</f>
        <v/>
      </c>
      <c r="I86" s="77">
        <f>IF(OR(G86="",NOT(ISNUMBER(C86))),"",C86-G86)</f>
        <v/>
      </c>
      <c r="J86" s="54">
        <f>IF(NOT(ISNUMBER(H86)),"",IF(NOT(ISNUMBER('設定'!$B$8)),"",IF('設定'!$B$8&lt;=0,"",IF(H86&gt;'設定'!$B$8,"目標超え","目標内"))))</f>
        <v/>
      </c>
      <c r="K86" s="79">
        <f>IF(TRIM(A86)="","",COUNTIF('レシピ'!$A$5:$A$604,A86))</f>
        <v/>
      </c>
      <c r="L86" s="31">
        <f>IF(AND(ISNUMBER(C86),ISNUMBER(E86)),C86*E86,"")</f>
        <v/>
      </c>
      <c r="M86" s="31">
        <f>IF(AND(ISNUMBER(G86),ISNUMBER(E86)),G86*E86,"")</f>
        <v/>
      </c>
      <c r="N86" s="33" t="n"/>
      <c r="O86" s="34">
        <f>IF(TRIM(A86)="",IF(COUNTA(B86:E86,N86)&gt;0,"メニュー名がありません",""),IF(COUNTIF($A$8:$A$107,A86)&gt;1,"同じメニュー名があります",IF(N(K86)=0,"レシピに材料がありません",IF(COUNTIFS('レシピ'!$A$5:$A$604,A86,'レシピ'!$F$5:$F$604,"&gt;=0")&lt;K86,"レシピに原価の出ない行があります（レシピの確認の列）",IF(NOT(ISNUMBER(C86)),"売価がありません","")))))</f>
        <v/>
      </c>
    </row>
    <row r="87" ht="17" customHeight="1">
      <c r="A87" s="38" t="n"/>
      <c r="B87" s="36" t="n"/>
      <c r="C87" s="40" t="n"/>
      <c r="D87" s="39" t="n"/>
      <c r="E87" s="39" t="n"/>
      <c r="F87" s="77">
        <f>IF(TRIM(A87)="","",SUMIF('レシピ'!$A$5:$A$604,A87,'レシピ'!$F$5:$F$604))</f>
        <v/>
      </c>
      <c r="G87" s="78">
        <f>IF(OR(TRIM(A87)="",N(K87)=0),"",IF(COUNTIFS('レシピ'!$A$5:$A$604,A87,'レシピ'!$F$5:$F$604,"&gt;=0")&lt;K87,"",F87/IF(ISNUMBER(D87),IF(D87&gt;0,D87,1),1)))</f>
        <v/>
      </c>
      <c r="H87" s="46">
        <f>IF(G87="","",IF(ISNUMBER(C87),IF(C87&gt;0,G87/C87,"－"),"－"))</f>
        <v/>
      </c>
      <c r="I87" s="77">
        <f>IF(OR(G87="",NOT(ISNUMBER(C87))),"",C87-G87)</f>
        <v/>
      </c>
      <c r="J87" s="54">
        <f>IF(NOT(ISNUMBER(H87)),"",IF(NOT(ISNUMBER('設定'!$B$8)),"",IF('設定'!$B$8&lt;=0,"",IF(H87&gt;'設定'!$B$8,"目標超え","目標内"))))</f>
        <v/>
      </c>
      <c r="K87" s="79">
        <f>IF(TRIM(A87)="","",COUNTIF('レシピ'!$A$5:$A$604,A87))</f>
        <v/>
      </c>
      <c r="L87" s="31">
        <f>IF(AND(ISNUMBER(C87),ISNUMBER(E87)),C87*E87,"")</f>
        <v/>
      </c>
      <c r="M87" s="31">
        <f>IF(AND(ISNUMBER(G87),ISNUMBER(E87)),G87*E87,"")</f>
        <v/>
      </c>
      <c r="N87" s="33" t="n"/>
      <c r="O87" s="34">
        <f>IF(TRIM(A87)="",IF(COUNTA(B87:E87,N87)&gt;0,"メニュー名がありません",""),IF(COUNTIF($A$8:$A$107,A87)&gt;1,"同じメニュー名があります",IF(N(K87)=0,"レシピに材料がありません",IF(COUNTIFS('レシピ'!$A$5:$A$604,A87,'レシピ'!$F$5:$F$604,"&gt;=0")&lt;K87,"レシピに原価の出ない行があります（レシピの確認の列）",IF(NOT(ISNUMBER(C87)),"売価がありません","")))))</f>
        <v/>
      </c>
    </row>
    <row r="88" ht="17" customHeight="1">
      <c r="A88" s="38" t="n"/>
      <c r="B88" s="36" t="n"/>
      <c r="C88" s="40" t="n"/>
      <c r="D88" s="39" t="n"/>
      <c r="E88" s="39" t="n"/>
      <c r="F88" s="77">
        <f>IF(TRIM(A88)="","",SUMIF('レシピ'!$A$5:$A$604,A88,'レシピ'!$F$5:$F$604))</f>
        <v/>
      </c>
      <c r="G88" s="78">
        <f>IF(OR(TRIM(A88)="",N(K88)=0),"",IF(COUNTIFS('レシピ'!$A$5:$A$604,A88,'レシピ'!$F$5:$F$604,"&gt;=0")&lt;K88,"",F88/IF(ISNUMBER(D88),IF(D88&gt;0,D88,1),1)))</f>
        <v/>
      </c>
      <c r="H88" s="46">
        <f>IF(G88="","",IF(ISNUMBER(C88),IF(C88&gt;0,G88/C88,"－"),"－"))</f>
        <v/>
      </c>
      <c r="I88" s="77">
        <f>IF(OR(G88="",NOT(ISNUMBER(C88))),"",C88-G88)</f>
        <v/>
      </c>
      <c r="J88" s="54">
        <f>IF(NOT(ISNUMBER(H88)),"",IF(NOT(ISNUMBER('設定'!$B$8)),"",IF('設定'!$B$8&lt;=0,"",IF(H88&gt;'設定'!$B$8,"目標超え","目標内"))))</f>
        <v/>
      </c>
      <c r="K88" s="79">
        <f>IF(TRIM(A88)="","",COUNTIF('レシピ'!$A$5:$A$604,A88))</f>
        <v/>
      </c>
      <c r="L88" s="31">
        <f>IF(AND(ISNUMBER(C88),ISNUMBER(E88)),C88*E88,"")</f>
        <v/>
      </c>
      <c r="M88" s="31">
        <f>IF(AND(ISNUMBER(G88),ISNUMBER(E88)),G88*E88,"")</f>
        <v/>
      </c>
      <c r="N88" s="33" t="n"/>
      <c r="O88" s="34">
        <f>IF(TRIM(A88)="",IF(COUNTA(B88:E88,N88)&gt;0,"メニュー名がありません",""),IF(COUNTIF($A$8:$A$107,A88)&gt;1,"同じメニュー名があります",IF(N(K88)=0,"レシピに材料がありません",IF(COUNTIFS('レシピ'!$A$5:$A$604,A88,'レシピ'!$F$5:$F$604,"&gt;=0")&lt;K88,"レシピに原価の出ない行があります（レシピの確認の列）",IF(NOT(ISNUMBER(C88)),"売価がありません","")))))</f>
        <v/>
      </c>
    </row>
    <row r="89" ht="17" customHeight="1">
      <c r="A89" s="38" t="n"/>
      <c r="B89" s="36" t="n"/>
      <c r="C89" s="40" t="n"/>
      <c r="D89" s="39" t="n"/>
      <c r="E89" s="39" t="n"/>
      <c r="F89" s="77">
        <f>IF(TRIM(A89)="","",SUMIF('レシピ'!$A$5:$A$604,A89,'レシピ'!$F$5:$F$604))</f>
        <v/>
      </c>
      <c r="G89" s="78">
        <f>IF(OR(TRIM(A89)="",N(K89)=0),"",IF(COUNTIFS('レシピ'!$A$5:$A$604,A89,'レシピ'!$F$5:$F$604,"&gt;=0")&lt;K89,"",F89/IF(ISNUMBER(D89),IF(D89&gt;0,D89,1),1)))</f>
        <v/>
      </c>
      <c r="H89" s="46">
        <f>IF(G89="","",IF(ISNUMBER(C89),IF(C89&gt;0,G89/C89,"－"),"－"))</f>
        <v/>
      </c>
      <c r="I89" s="77">
        <f>IF(OR(G89="",NOT(ISNUMBER(C89))),"",C89-G89)</f>
        <v/>
      </c>
      <c r="J89" s="54">
        <f>IF(NOT(ISNUMBER(H89)),"",IF(NOT(ISNUMBER('設定'!$B$8)),"",IF('設定'!$B$8&lt;=0,"",IF(H89&gt;'設定'!$B$8,"目標超え","目標内"))))</f>
        <v/>
      </c>
      <c r="K89" s="79">
        <f>IF(TRIM(A89)="","",COUNTIF('レシピ'!$A$5:$A$604,A89))</f>
        <v/>
      </c>
      <c r="L89" s="31">
        <f>IF(AND(ISNUMBER(C89),ISNUMBER(E89)),C89*E89,"")</f>
        <v/>
      </c>
      <c r="M89" s="31">
        <f>IF(AND(ISNUMBER(G89),ISNUMBER(E89)),G89*E89,"")</f>
        <v/>
      </c>
      <c r="N89" s="33" t="n"/>
      <c r="O89" s="34">
        <f>IF(TRIM(A89)="",IF(COUNTA(B89:E89,N89)&gt;0,"メニュー名がありません",""),IF(COUNTIF($A$8:$A$107,A89)&gt;1,"同じメニュー名があります",IF(N(K89)=0,"レシピに材料がありません",IF(COUNTIFS('レシピ'!$A$5:$A$604,A89,'レシピ'!$F$5:$F$604,"&gt;=0")&lt;K89,"レシピに原価の出ない行があります（レシピの確認の列）",IF(NOT(ISNUMBER(C89)),"売価がありません","")))))</f>
        <v/>
      </c>
    </row>
    <row r="90" ht="17" customHeight="1">
      <c r="A90" s="38" t="n"/>
      <c r="B90" s="36" t="n"/>
      <c r="C90" s="40" t="n"/>
      <c r="D90" s="39" t="n"/>
      <c r="E90" s="39" t="n"/>
      <c r="F90" s="77">
        <f>IF(TRIM(A90)="","",SUMIF('レシピ'!$A$5:$A$604,A90,'レシピ'!$F$5:$F$604))</f>
        <v/>
      </c>
      <c r="G90" s="78">
        <f>IF(OR(TRIM(A90)="",N(K90)=0),"",IF(COUNTIFS('レシピ'!$A$5:$A$604,A90,'レシピ'!$F$5:$F$604,"&gt;=0")&lt;K90,"",F90/IF(ISNUMBER(D90),IF(D90&gt;0,D90,1),1)))</f>
        <v/>
      </c>
      <c r="H90" s="46">
        <f>IF(G90="","",IF(ISNUMBER(C90),IF(C90&gt;0,G90/C90,"－"),"－"))</f>
        <v/>
      </c>
      <c r="I90" s="77">
        <f>IF(OR(G90="",NOT(ISNUMBER(C90))),"",C90-G90)</f>
        <v/>
      </c>
      <c r="J90" s="54">
        <f>IF(NOT(ISNUMBER(H90)),"",IF(NOT(ISNUMBER('設定'!$B$8)),"",IF('設定'!$B$8&lt;=0,"",IF(H90&gt;'設定'!$B$8,"目標超え","目標内"))))</f>
        <v/>
      </c>
      <c r="K90" s="79">
        <f>IF(TRIM(A90)="","",COUNTIF('レシピ'!$A$5:$A$604,A90))</f>
        <v/>
      </c>
      <c r="L90" s="31">
        <f>IF(AND(ISNUMBER(C90),ISNUMBER(E90)),C90*E90,"")</f>
        <v/>
      </c>
      <c r="M90" s="31">
        <f>IF(AND(ISNUMBER(G90),ISNUMBER(E90)),G90*E90,"")</f>
        <v/>
      </c>
      <c r="N90" s="33" t="n"/>
      <c r="O90" s="34">
        <f>IF(TRIM(A90)="",IF(COUNTA(B90:E90,N90)&gt;0,"メニュー名がありません",""),IF(COUNTIF($A$8:$A$107,A90)&gt;1,"同じメニュー名があります",IF(N(K90)=0,"レシピに材料がありません",IF(COUNTIFS('レシピ'!$A$5:$A$604,A90,'レシピ'!$F$5:$F$604,"&gt;=0")&lt;K90,"レシピに原価の出ない行があります（レシピの確認の列）",IF(NOT(ISNUMBER(C90)),"売価がありません","")))))</f>
        <v/>
      </c>
    </row>
    <row r="91" ht="17" customHeight="1">
      <c r="A91" s="38" t="n"/>
      <c r="B91" s="36" t="n"/>
      <c r="C91" s="40" t="n"/>
      <c r="D91" s="39" t="n"/>
      <c r="E91" s="39" t="n"/>
      <c r="F91" s="77">
        <f>IF(TRIM(A91)="","",SUMIF('レシピ'!$A$5:$A$604,A91,'レシピ'!$F$5:$F$604))</f>
        <v/>
      </c>
      <c r="G91" s="78">
        <f>IF(OR(TRIM(A91)="",N(K91)=0),"",IF(COUNTIFS('レシピ'!$A$5:$A$604,A91,'レシピ'!$F$5:$F$604,"&gt;=0")&lt;K91,"",F91/IF(ISNUMBER(D91),IF(D91&gt;0,D91,1),1)))</f>
        <v/>
      </c>
      <c r="H91" s="46">
        <f>IF(G91="","",IF(ISNUMBER(C91),IF(C91&gt;0,G91/C91,"－"),"－"))</f>
        <v/>
      </c>
      <c r="I91" s="77">
        <f>IF(OR(G91="",NOT(ISNUMBER(C91))),"",C91-G91)</f>
        <v/>
      </c>
      <c r="J91" s="54">
        <f>IF(NOT(ISNUMBER(H91)),"",IF(NOT(ISNUMBER('設定'!$B$8)),"",IF('設定'!$B$8&lt;=0,"",IF(H91&gt;'設定'!$B$8,"目標超え","目標内"))))</f>
        <v/>
      </c>
      <c r="K91" s="79">
        <f>IF(TRIM(A91)="","",COUNTIF('レシピ'!$A$5:$A$604,A91))</f>
        <v/>
      </c>
      <c r="L91" s="31">
        <f>IF(AND(ISNUMBER(C91),ISNUMBER(E91)),C91*E91,"")</f>
        <v/>
      </c>
      <c r="M91" s="31">
        <f>IF(AND(ISNUMBER(G91),ISNUMBER(E91)),G91*E91,"")</f>
        <v/>
      </c>
      <c r="N91" s="33" t="n"/>
      <c r="O91" s="34">
        <f>IF(TRIM(A91)="",IF(COUNTA(B91:E91,N91)&gt;0,"メニュー名がありません",""),IF(COUNTIF($A$8:$A$107,A91)&gt;1,"同じメニュー名があります",IF(N(K91)=0,"レシピに材料がありません",IF(COUNTIFS('レシピ'!$A$5:$A$604,A91,'レシピ'!$F$5:$F$604,"&gt;=0")&lt;K91,"レシピに原価の出ない行があります（レシピの確認の列）",IF(NOT(ISNUMBER(C91)),"売価がありません","")))))</f>
        <v/>
      </c>
    </row>
    <row r="92" ht="17" customHeight="1">
      <c r="A92" s="38" t="n"/>
      <c r="B92" s="36" t="n"/>
      <c r="C92" s="40" t="n"/>
      <c r="D92" s="39" t="n"/>
      <c r="E92" s="39" t="n"/>
      <c r="F92" s="77">
        <f>IF(TRIM(A92)="","",SUMIF('レシピ'!$A$5:$A$604,A92,'レシピ'!$F$5:$F$604))</f>
        <v/>
      </c>
      <c r="G92" s="78">
        <f>IF(OR(TRIM(A92)="",N(K92)=0),"",IF(COUNTIFS('レシピ'!$A$5:$A$604,A92,'レシピ'!$F$5:$F$604,"&gt;=0")&lt;K92,"",F92/IF(ISNUMBER(D92),IF(D92&gt;0,D92,1),1)))</f>
        <v/>
      </c>
      <c r="H92" s="46">
        <f>IF(G92="","",IF(ISNUMBER(C92),IF(C92&gt;0,G92/C92,"－"),"－"))</f>
        <v/>
      </c>
      <c r="I92" s="77">
        <f>IF(OR(G92="",NOT(ISNUMBER(C92))),"",C92-G92)</f>
        <v/>
      </c>
      <c r="J92" s="54">
        <f>IF(NOT(ISNUMBER(H92)),"",IF(NOT(ISNUMBER('設定'!$B$8)),"",IF('設定'!$B$8&lt;=0,"",IF(H92&gt;'設定'!$B$8,"目標超え","目標内"))))</f>
        <v/>
      </c>
      <c r="K92" s="79">
        <f>IF(TRIM(A92)="","",COUNTIF('レシピ'!$A$5:$A$604,A92))</f>
        <v/>
      </c>
      <c r="L92" s="31">
        <f>IF(AND(ISNUMBER(C92),ISNUMBER(E92)),C92*E92,"")</f>
        <v/>
      </c>
      <c r="M92" s="31">
        <f>IF(AND(ISNUMBER(G92),ISNUMBER(E92)),G92*E92,"")</f>
        <v/>
      </c>
      <c r="N92" s="33" t="n"/>
      <c r="O92" s="34">
        <f>IF(TRIM(A92)="",IF(COUNTA(B92:E92,N92)&gt;0,"メニュー名がありません",""),IF(COUNTIF($A$8:$A$107,A92)&gt;1,"同じメニュー名があります",IF(N(K92)=0,"レシピに材料がありません",IF(COUNTIFS('レシピ'!$A$5:$A$604,A92,'レシピ'!$F$5:$F$604,"&gt;=0")&lt;K92,"レシピに原価の出ない行があります（レシピの確認の列）",IF(NOT(ISNUMBER(C92)),"売価がありません","")))))</f>
        <v/>
      </c>
    </row>
    <row r="93" ht="17" customHeight="1">
      <c r="A93" s="38" t="n"/>
      <c r="B93" s="36" t="n"/>
      <c r="C93" s="40" t="n"/>
      <c r="D93" s="39" t="n"/>
      <c r="E93" s="39" t="n"/>
      <c r="F93" s="77">
        <f>IF(TRIM(A93)="","",SUMIF('レシピ'!$A$5:$A$604,A93,'レシピ'!$F$5:$F$604))</f>
        <v/>
      </c>
      <c r="G93" s="78">
        <f>IF(OR(TRIM(A93)="",N(K93)=0),"",IF(COUNTIFS('レシピ'!$A$5:$A$604,A93,'レシピ'!$F$5:$F$604,"&gt;=0")&lt;K93,"",F93/IF(ISNUMBER(D93),IF(D93&gt;0,D93,1),1)))</f>
        <v/>
      </c>
      <c r="H93" s="46">
        <f>IF(G93="","",IF(ISNUMBER(C93),IF(C93&gt;0,G93/C93,"－"),"－"))</f>
        <v/>
      </c>
      <c r="I93" s="77">
        <f>IF(OR(G93="",NOT(ISNUMBER(C93))),"",C93-G93)</f>
        <v/>
      </c>
      <c r="J93" s="54">
        <f>IF(NOT(ISNUMBER(H93)),"",IF(NOT(ISNUMBER('設定'!$B$8)),"",IF('設定'!$B$8&lt;=0,"",IF(H93&gt;'設定'!$B$8,"目標超え","目標内"))))</f>
        <v/>
      </c>
      <c r="K93" s="79">
        <f>IF(TRIM(A93)="","",COUNTIF('レシピ'!$A$5:$A$604,A93))</f>
        <v/>
      </c>
      <c r="L93" s="31">
        <f>IF(AND(ISNUMBER(C93),ISNUMBER(E93)),C93*E93,"")</f>
        <v/>
      </c>
      <c r="M93" s="31">
        <f>IF(AND(ISNUMBER(G93),ISNUMBER(E93)),G93*E93,"")</f>
        <v/>
      </c>
      <c r="N93" s="33" t="n"/>
      <c r="O93" s="34">
        <f>IF(TRIM(A93)="",IF(COUNTA(B93:E93,N93)&gt;0,"メニュー名がありません",""),IF(COUNTIF($A$8:$A$107,A93)&gt;1,"同じメニュー名があります",IF(N(K93)=0,"レシピに材料がありません",IF(COUNTIFS('レシピ'!$A$5:$A$604,A93,'レシピ'!$F$5:$F$604,"&gt;=0")&lt;K93,"レシピに原価の出ない行があります（レシピの確認の列）",IF(NOT(ISNUMBER(C93)),"売価がありません","")))))</f>
        <v/>
      </c>
    </row>
    <row r="94" ht="17" customHeight="1">
      <c r="A94" s="38" t="n"/>
      <c r="B94" s="36" t="n"/>
      <c r="C94" s="40" t="n"/>
      <c r="D94" s="39" t="n"/>
      <c r="E94" s="39" t="n"/>
      <c r="F94" s="77">
        <f>IF(TRIM(A94)="","",SUMIF('レシピ'!$A$5:$A$604,A94,'レシピ'!$F$5:$F$604))</f>
        <v/>
      </c>
      <c r="G94" s="78">
        <f>IF(OR(TRIM(A94)="",N(K94)=0),"",IF(COUNTIFS('レシピ'!$A$5:$A$604,A94,'レシピ'!$F$5:$F$604,"&gt;=0")&lt;K94,"",F94/IF(ISNUMBER(D94),IF(D94&gt;0,D94,1),1)))</f>
        <v/>
      </c>
      <c r="H94" s="46">
        <f>IF(G94="","",IF(ISNUMBER(C94),IF(C94&gt;0,G94/C94,"－"),"－"))</f>
        <v/>
      </c>
      <c r="I94" s="77">
        <f>IF(OR(G94="",NOT(ISNUMBER(C94))),"",C94-G94)</f>
        <v/>
      </c>
      <c r="J94" s="54">
        <f>IF(NOT(ISNUMBER(H94)),"",IF(NOT(ISNUMBER('設定'!$B$8)),"",IF('設定'!$B$8&lt;=0,"",IF(H94&gt;'設定'!$B$8,"目標超え","目標内"))))</f>
        <v/>
      </c>
      <c r="K94" s="79">
        <f>IF(TRIM(A94)="","",COUNTIF('レシピ'!$A$5:$A$604,A94))</f>
        <v/>
      </c>
      <c r="L94" s="31">
        <f>IF(AND(ISNUMBER(C94),ISNUMBER(E94)),C94*E94,"")</f>
        <v/>
      </c>
      <c r="M94" s="31">
        <f>IF(AND(ISNUMBER(G94),ISNUMBER(E94)),G94*E94,"")</f>
        <v/>
      </c>
      <c r="N94" s="33" t="n"/>
      <c r="O94" s="34">
        <f>IF(TRIM(A94)="",IF(COUNTA(B94:E94,N94)&gt;0,"メニュー名がありません",""),IF(COUNTIF($A$8:$A$107,A94)&gt;1,"同じメニュー名があります",IF(N(K94)=0,"レシピに材料がありません",IF(COUNTIFS('レシピ'!$A$5:$A$604,A94,'レシピ'!$F$5:$F$604,"&gt;=0")&lt;K94,"レシピに原価の出ない行があります（レシピの確認の列）",IF(NOT(ISNUMBER(C94)),"売価がありません","")))))</f>
        <v/>
      </c>
    </row>
    <row r="95" ht="17" customHeight="1">
      <c r="A95" s="38" t="n"/>
      <c r="B95" s="36" t="n"/>
      <c r="C95" s="40" t="n"/>
      <c r="D95" s="39" t="n"/>
      <c r="E95" s="39" t="n"/>
      <c r="F95" s="77">
        <f>IF(TRIM(A95)="","",SUMIF('レシピ'!$A$5:$A$604,A95,'レシピ'!$F$5:$F$604))</f>
        <v/>
      </c>
      <c r="G95" s="78">
        <f>IF(OR(TRIM(A95)="",N(K95)=0),"",IF(COUNTIFS('レシピ'!$A$5:$A$604,A95,'レシピ'!$F$5:$F$604,"&gt;=0")&lt;K95,"",F95/IF(ISNUMBER(D95),IF(D95&gt;0,D95,1),1)))</f>
        <v/>
      </c>
      <c r="H95" s="46">
        <f>IF(G95="","",IF(ISNUMBER(C95),IF(C95&gt;0,G95/C95,"－"),"－"))</f>
        <v/>
      </c>
      <c r="I95" s="77">
        <f>IF(OR(G95="",NOT(ISNUMBER(C95))),"",C95-G95)</f>
        <v/>
      </c>
      <c r="J95" s="54">
        <f>IF(NOT(ISNUMBER(H95)),"",IF(NOT(ISNUMBER('設定'!$B$8)),"",IF('設定'!$B$8&lt;=0,"",IF(H95&gt;'設定'!$B$8,"目標超え","目標内"))))</f>
        <v/>
      </c>
      <c r="K95" s="79">
        <f>IF(TRIM(A95)="","",COUNTIF('レシピ'!$A$5:$A$604,A95))</f>
        <v/>
      </c>
      <c r="L95" s="31">
        <f>IF(AND(ISNUMBER(C95),ISNUMBER(E95)),C95*E95,"")</f>
        <v/>
      </c>
      <c r="M95" s="31">
        <f>IF(AND(ISNUMBER(G95),ISNUMBER(E95)),G95*E95,"")</f>
        <v/>
      </c>
      <c r="N95" s="33" t="n"/>
      <c r="O95" s="34">
        <f>IF(TRIM(A95)="",IF(COUNTA(B95:E95,N95)&gt;0,"メニュー名がありません",""),IF(COUNTIF($A$8:$A$107,A95)&gt;1,"同じメニュー名があります",IF(N(K95)=0,"レシピに材料がありません",IF(COUNTIFS('レシピ'!$A$5:$A$604,A95,'レシピ'!$F$5:$F$604,"&gt;=0")&lt;K95,"レシピに原価の出ない行があります（レシピの確認の列）",IF(NOT(ISNUMBER(C95)),"売価がありません","")))))</f>
        <v/>
      </c>
    </row>
    <row r="96" ht="17" customHeight="1">
      <c r="A96" s="38" t="n"/>
      <c r="B96" s="36" t="n"/>
      <c r="C96" s="40" t="n"/>
      <c r="D96" s="39" t="n"/>
      <c r="E96" s="39" t="n"/>
      <c r="F96" s="77">
        <f>IF(TRIM(A96)="","",SUMIF('レシピ'!$A$5:$A$604,A96,'レシピ'!$F$5:$F$604))</f>
        <v/>
      </c>
      <c r="G96" s="78">
        <f>IF(OR(TRIM(A96)="",N(K96)=0),"",IF(COUNTIFS('レシピ'!$A$5:$A$604,A96,'レシピ'!$F$5:$F$604,"&gt;=0")&lt;K96,"",F96/IF(ISNUMBER(D96),IF(D96&gt;0,D96,1),1)))</f>
        <v/>
      </c>
      <c r="H96" s="46">
        <f>IF(G96="","",IF(ISNUMBER(C96),IF(C96&gt;0,G96/C96,"－"),"－"))</f>
        <v/>
      </c>
      <c r="I96" s="77">
        <f>IF(OR(G96="",NOT(ISNUMBER(C96))),"",C96-G96)</f>
        <v/>
      </c>
      <c r="J96" s="54">
        <f>IF(NOT(ISNUMBER(H96)),"",IF(NOT(ISNUMBER('設定'!$B$8)),"",IF('設定'!$B$8&lt;=0,"",IF(H96&gt;'設定'!$B$8,"目標超え","目標内"))))</f>
        <v/>
      </c>
      <c r="K96" s="79">
        <f>IF(TRIM(A96)="","",COUNTIF('レシピ'!$A$5:$A$604,A96))</f>
        <v/>
      </c>
      <c r="L96" s="31">
        <f>IF(AND(ISNUMBER(C96),ISNUMBER(E96)),C96*E96,"")</f>
        <v/>
      </c>
      <c r="M96" s="31">
        <f>IF(AND(ISNUMBER(G96),ISNUMBER(E96)),G96*E96,"")</f>
        <v/>
      </c>
      <c r="N96" s="33" t="n"/>
      <c r="O96" s="34">
        <f>IF(TRIM(A96)="",IF(COUNTA(B96:E96,N96)&gt;0,"メニュー名がありません",""),IF(COUNTIF($A$8:$A$107,A96)&gt;1,"同じメニュー名があります",IF(N(K96)=0,"レシピに材料がありません",IF(COUNTIFS('レシピ'!$A$5:$A$604,A96,'レシピ'!$F$5:$F$604,"&gt;=0")&lt;K96,"レシピに原価の出ない行があります（レシピの確認の列）",IF(NOT(ISNUMBER(C96)),"売価がありません","")))))</f>
        <v/>
      </c>
    </row>
    <row r="97" ht="17" customHeight="1">
      <c r="A97" s="38" t="n"/>
      <c r="B97" s="36" t="n"/>
      <c r="C97" s="40" t="n"/>
      <c r="D97" s="39" t="n"/>
      <c r="E97" s="39" t="n"/>
      <c r="F97" s="77">
        <f>IF(TRIM(A97)="","",SUMIF('レシピ'!$A$5:$A$604,A97,'レシピ'!$F$5:$F$604))</f>
        <v/>
      </c>
      <c r="G97" s="78">
        <f>IF(OR(TRIM(A97)="",N(K97)=0),"",IF(COUNTIFS('レシピ'!$A$5:$A$604,A97,'レシピ'!$F$5:$F$604,"&gt;=0")&lt;K97,"",F97/IF(ISNUMBER(D97),IF(D97&gt;0,D97,1),1)))</f>
        <v/>
      </c>
      <c r="H97" s="46">
        <f>IF(G97="","",IF(ISNUMBER(C97),IF(C97&gt;0,G97/C97,"－"),"－"))</f>
        <v/>
      </c>
      <c r="I97" s="77">
        <f>IF(OR(G97="",NOT(ISNUMBER(C97))),"",C97-G97)</f>
        <v/>
      </c>
      <c r="J97" s="54">
        <f>IF(NOT(ISNUMBER(H97)),"",IF(NOT(ISNUMBER('設定'!$B$8)),"",IF('設定'!$B$8&lt;=0,"",IF(H97&gt;'設定'!$B$8,"目標超え","目標内"))))</f>
        <v/>
      </c>
      <c r="K97" s="79">
        <f>IF(TRIM(A97)="","",COUNTIF('レシピ'!$A$5:$A$604,A97))</f>
        <v/>
      </c>
      <c r="L97" s="31">
        <f>IF(AND(ISNUMBER(C97),ISNUMBER(E97)),C97*E97,"")</f>
        <v/>
      </c>
      <c r="M97" s="31">
        <f>IF(AND(ISNUMBER(G97),ISNUMBER(E97)),G97*E97,"")</f>
        <v/>
      </c>
      <c r="N97" s="33" t="n"/>
      <c r="O97" s="34">
        <f>IF(TRIM(A97)="",IF(COUNTA(B97:E97,N97)&gt;0,"メニュー名がありません",""),IF(COUNTIF($A$8:$A$107,A97)&gt;1,"同じメニュー名があります",IF(N(K97)=0,"レシピに材料がありません",IF(COUNTIFS('レシピ'!$A$5:$A$604,A97,'レシピ'!$F$5:$F$604,"&gt;=0")&lt;K97,"レシピに原価の出ない行があります（レシピの確認の列）",IF(NOT(ISNUMBER(C97)),"売価がありません","")))))</f>
        <v/>
      </c>
    </row>
    <row r="98" ht="17" customHeight="1">
      <c r="A98" s="38" t="n"/>
      <c r="B98" s="36" t="n"/>
      <c r="C98" s="40" t="n"/>
      <c r="D98" s="39" t="n"/>
      <c r="E98" s="39" t="n"/>
      <c r="F98" s="77">
        <f>IF(TRIM(A98)="","",SUMIF('レシピ'!$A$5:$A$604,A98,'レシピ'!$F$5:$F$604))</f>
        <v/>
      </c>
      <c r="G98" s="78">
        <f>IF(OR(TRIM(A98)="",N(K98)=0),"",IF(COUNTIFS('レシピ'!$A$5:$A$604,A98,'レシピ'!$F$5:$F$604,"&gt;=0")&lt;K98,"",F98/IF(ISNUMBER(D98),IF(D98&gt;0,D98,1),1)))</f>
        <v/>
      </c>
      <c r="H98" s="46">
        <f>IF(G98="","",IF(ISNUMBER(C98),IF(C98&gt;0,G98/C98,"－"),"－"))</f>
        <v/>
      </c>
      <c r="I98" s="77">
        <f>IF(OR(G98="",NOT(ISNUMBER(C98))),"",C98-G98)</f>
        <v/>
      </c>
      <c r="J98" s="54">
        <f>IF(NOT(ISNUMBER(H98)),"",IF(NOT(ISNUMBER('設定'!$B$8)),"",IF('設定'!$B$8&lt;=0,"",IF(H98&gt;'設定'!$B$8,"目標超え","目標内"))))</f>
        <v/>
      </c>
      <c r="K98" s="79">
        <f>IF(TRIM(A98)="","",COUNTIF('レシピ'!$A$5:$A$604,A98))</f>
        <v/>
      </c>
      <c r="L98" s="31">
        <f>IF(AND(ISNUMBER(C98),ISNUMBER(E98)),C98*E98,"")</f>
        <v/>
      </c>
      <c r="M98" s="31">
        <f>IF(AND(ISNUMBER(G98),ISNUMBER(E98)),G98*E98,"")</f>
        <v/>
      </c>
      <c r="N98" s="33" t="n"/>
      <c r="O98" s="34">
        <f>IF(TRIM(A98)="",IF(COUNTA(B98:E98,N98)&gt;0,"メニュー名がありません",""),IF(COUNTIF($A$8:$A$107,A98)&gt;1,"同じメニュー名があります",IF(N(K98)=0,"レシピに材料がありません",IF(COUNTIFS('レシピ'!$A$5:$A$604,A98,'レシピ'!$F$5:$F$604,"&gt;=0")&lt;K98,"レシピに原価の出ない行があります（レシピの確認の列）",IF(NOT(ISNUMBER(C98)),"売価がありません","")))))</f>
        <v/>
      </c>
    </row>
    <row r="99" ht="17" customHeight="1">
      <c r="A99" s="38" t="n"/>
      <c r="B99" s="36" t="n"/>
      <c r="C99" s="40" t="n"/>
      <c r="D99" s="39" t="n"/>
      <c r="E99" s="39" t="n"/>
      <c r="F99" s="77">
        <f>IF(TRIM(A99)="","",SUMIF('レシピ'!$A$5:$A$604,A99,'レシピ'!$F$5:$F$604))</f>
        <v/>
      </c>
      <c r="G99" s="78">
        <f>IF(OR(TRIM(A99)="",N(K99)=0),"",IF(COUNTIFS('レシピ'!$A$5:$A$604,A99,'レシピ'!$F$5:$F$604,"&gt;=0")&lt;K99,"",F99/IF(ISNUMBER(D99),IF(D99&gt;0,D99,1),1)))</f>
        <v/>
      </c>
      <c r="H99" s="46">
        <f>IF(G99="","",IF(ISNUMBER(C99),IF(C99&gt;0,G99/C99,"－"),"－"))</f>
        <v/>
      </c>
      <c r="I99" s="77">
        <f>IF(OR(G99="",NOT(ISNUMBER(C99))),"",C99-G99)</f>
        <v/>
      </c>
      <c r="J99" s="54">
        <f>IF(NOT(ISNUMBER(H99)),"",IF(NOT(ISNUMBER('設定'!$B$8)),"",IF('設定'!$B$8&lt;=0,"",IF(H99&gt;'設定'!$B$8,"目標超え","目標内"))))</f>
        <v/>
      </c>
      <c r="K99" s="79">
        <f>IF(TRIM(A99)="","",COUNTIF('レシピ'!$A$5:$A$604,A99))</f>
        <v/>
      </c>
      <c r="L99" s="31">
        <f>IF(AND(ISNUMBER(C99),ISNUMBER(E99)),C99*E99,"")</f>
        <v/>
      </c>
      <c r="M99" s="31">
        <f>IF(AND(ISNUMBER(G99),ISNUMBER(E99)),G99*E99,"")</f>
        <v/>
      </c>
      <c r="N99" s="33" t="n"/>
      <c r="O99" s="34">
        <f>IF(TRIM(A99)="",IF(COUNTA(B99:E99,N99)&gt;0,"メニュー名がありません",""),IF(COUNTIF($A$8:$A$107,A99)&gt;1,"同じメニュー名があります",IF(N(K99)=0,"レシピに材料がありません",IF(COUNTIFS('レシピ'!$A$5:$A$604,A99,'レシピ'!$F$5:$F$604,"&gt;=0")&lt;K99,"レシピに原価の出ない行があります（レシピの確認の列）",IF(NOT(ISNUMBER(C99)),"売価がありません","")))))</f>
        <v/>
      </c>
    </row>
    <row r="100" ht="17" customHeight="1">
      <c r="A100" s="38" t="n"/>
      <c r="B100" s="36" t="n"/>
      <c r="C100" s="40" t="n"/>
      <c r="D100" s="39" t="n"/>
      <c r="E100" s="39" t="n"/>
      <c r="F100" s="77">
        <f>IF(TRIM(A100)="","",SUMIF('レシピ'!$A$5:$A$604,A100,'レシピ'!$F$5:$F$604))</f>
        <v/>
      </c>
      <c r="G100" s="78">
        <f>IF(OR(TRIM(A100)="",N(K100)=0),"",IF(COUNTIFS('レシピ'!$A$5:$A$604,A100,'レシピ'!$F$5:$F$604,"&gt;=0")&lt;K100,"",F100/IF(ISNUMBER(D100),IF(D100&gt;0,D100,1),1)))</f>
        <v/>
      </c>
      <c r="H100" s="46">
        <f>IF(G100="","",IF(ISNUMBER(C100),IF(C100&gt;0,G100/C100,"－"),"－"))</f>
        <v/>
      </c>
      <c r="I100" s="77">
        <f>IF(OR(G100="",NOT(ISNUMBER(C100))),"",C100-G100)</f>
        <v/>
      </c>
      <c r="J100" s="54">
        <f>IF(NOT(ISNUMBER(H100)),"",IF(NOT(ISNUMBER('設定'!$B$8)),"",IF('設定'!$B$8&lt;=0,"",IF(H100&gt;'設定'!$B$8,"目標超え","目標内"))))</f>
        <v/>
      </c>
      <c r="K100" s="79">
        <f>IF(TRIM(A100)="","",COUNTIF('レシピ'!$A$5:$A$604,A100))</f>
        <v/>
      </c>
      <c r="L100" s="31">
        <f>IF(AND(ISNUMBER(C100),ISNUMBER(E100)),C100*E100,"")</f>
        <v/>
      </c>
      <c r="M100" s="31">
        <f>IF(AND(ISNUMBER(G100),ISNUMBER(E100)),G100*E100,"")</f>
        <v/>
      </c>
      <c r="N100" s="33" t="n"/>
      <c r="O100" s="34">
        <f>IF(TRIM(A100)="",IF(COUNTA(B100:E100,N100)&gt;0,"メニュー名がありません",""),IF(COUNTIF($A$8:$A$107,A100)&gt;1,"同じメニュー名があります",IF(N(K100)=0,"レシピに材料がありません",IF(COUNTIFS('レシピ'!$A$5:$A$604,A100,'レシピ'!$F$5:$F$604,"&gt;=0")&lt;K100,"レシピに原価の出ない行があります（レシピの確認の列）",IF(NOT(ISNUMBER(C100)),"売価がありません","")))))</f>
        <v/>
      </c>
    </row>
    <row r="101" ht="17" customHeight="1">
      <c r="A101" s="38" t="n"/>
      <c r="B101" s="36" t="n"/>
      <c r="C101" s="40" t="n"/>
      <c r="D101" s="39" t="n"/>
      <c r="E101" s="39" t="n"/>
      <c r="F101" s="77">
        <f>IF(TRIM(A101)="","",SUMIF('レシピ'!$A$5:$A$604,A101,'レシピ'!$F$5:$F$604))</f>
        <v/>
      </c>
      <c r="G101" s="78">
        <f>IF(OR(TRIM(A101)="",N(K101)=0),"",IF(COUNTIFS('レシピ'!$A$5:$A$604,A101,'レシピ'!$F$5:$F$604,"&gt;=0")&lt;K101,"",F101/IF(ISNUMBER(D101),IF(D101&gt;0,D101,1),1)))</f>
        <v/>
      </c>
      <c r="H101" s="46">
        <f>IF(G101="","",IF(ISNUMBER(C101),IF(C101&gt;0,G101/C101,"－"),"－"))</f>
        <v/>
      </c>
      <c r="I101" s="77">
        <f>IF(OR(G101="",NOT(ISNUMBER(C101))),"",C101-G101)</f>
        <v/>
      </c>
      <c r="J101" s="54">
        <f>IF(NOT(ISNUMBER(H101)),"",IF(NOT(ISNUMBER('設定'!$B$8)),"",IF('設定'!$B$8&lt;=0,"",IF(H101&gt;'設定'!$B$8,"目標超え","目標内"))))</f>
        <v/>
      </c>
      <c r="K101" s="79">
        <f>IF(TRIM(A101)="","",COUNTIF('レシピ'!$A$5:$A$604,A101))</f>
        <v/>
      </c>
      <c r="L101" s="31">
        <f>IF(AND(ISNUMBER(C101),ISNUMBER(E101)),C101*E101,"")</f>
        <v/>
      </c>
      <c r="M101" s="31">
        <f>IF(AND(ISNUMBER(G101),ISNUMBER(E101)),G101*E101,"")</f>
        <v/>
      </c>
      <c r="N101" s="33" t="n"/>
      <c r="O101" s="34">
        <f>IF(TRIM(A101)="",IF(COUNTA(B101:E101,N101)&gt;0,"メニュー名がありません",""),IF(COUNTIF($A$8:$A$107,A101)&gt;1,"同じメニュー名があります",IF(N(K101)=0,"レシピに材料がありません",IF(COUNTIFS('レシピ'!$A$5:$A$604,A101,'レシピ'!$F$5:$F$604,"&gt;=0")&lt;K101,"レシピに原価の出ない行があります（レシピの確認の列）",IF(NOT(ISNUMBER(C101)),"売価がありません","")))))</f>
        <v/>
      </c>
    </row>
    <row r="102" ht="17" customHeight="1">
      <c r="A102" s="38" t="n"/>
      <c r="B102" s="36" t="n"/>
      <c r="C102" s="40" t="n"/>
      <c r="D102" s="39" t="n"/>
      <c r="E102" s="39" t="n"/>
      <c r="F102" s="77">
        <f>IF(TRIM(A102)="","",SUMIF('レシピ'!$A$5:$A$604,A102,'レシピ'!$F$5:$F$604))</f>
        <v/>
      </c>
      <c r="G102" s="78">
        <f>IF(OR(TRIM(A102)="",N(K102)=0),"",IF(COUNTIFS('レシピ'!$A$5:$A$604,A102,'レシピ'!$F$5:$F$604,"&gt;=0")&lt;K102,"",F102/IF(ISNUMBER(D102),IF(D102&gt;0,D102,1),1)))</f>
        <v/>
      </c>
      <c r="H102" s="46">
        <f>IF(G102="","",IF(ISNUMBER(C102),IF(C102&gt;0,G102/C102,"－"),"－"))</f>
        <v/>
      </c>
      <c r="I102" s="77">
        <f>IF(OR(G102="",NOT(ISNUMBER(C102))),"",C102-G102)</f>
        <v/>
      </c>
      <c r="J102" s="54">
        <f>IF(NOT(ISNUMBER(H102)),"",IF(NOT(ISNUMBER('設定'!$B$8)),"",IF('設定'!$B$8&lt;=0,"",IF(H102&gt;'設定'!$B$8,"目標超え","目標内"))))</f>
        <v/>
      </c>
      <c r="K102" s="79">
        <f>IF(TRIM(A102)="","",COUNTIF('レシピ'!$A$5:$A$604,A102))</f>
        <v/>
      </c>
      <c r="L102" s="31">
        <f>IF(AND(ISNUMBER(C102),ISNUMBER(E102)),C102*E102,"")</f>
        <v/>
      </c>
      <c r="M102" s="31">
        <f>IF(AND(ISNUMBER(G102),ISNUMBER(E102)),G102*E102,"")</f>
        <v/>
      </c>
      <c r="N102" s="33" t="n"/>
      <c r="O102" s="34">
        <f>IF(TRIM(A102)="",IF(COUNTA(B102:E102,N102)&gt;0,"メニュー名がありません",""),IF(COUNTIF($A$8:$A$107,A102)&gt;1,"同じメニュー名があります",IF(N(K102)=0,"レシピに材料がありません",IF(COUNTIFS('レシピ'!$A$5:$A$604,A102,'レシピ'!$F$5:$F$604,"&gt;=0")&lt;K102,"レシピに原価の出ない行があります（レシピの確認の列）",IF(NOT(ISNUMBER(C102)),"売価がありません","")))))</f>
        <v/>
      </c>
    </row>
    <row r="103" ht="17" customHeight="1">
      <c r="A103" s="38" t="n"/>
      <c r="B103" s="36" t="n"/>
      <c r="C103" s="40" t="n"/>
      <c r="D103" s="39" t="n"/>
      <c r="E103" s="39" t="n"/>
      <c r="F103" s="77">
        <f>IF(TRIM(A103)="","",SUMIF('レシピ'!$A$5:$A$604,A103,'レシピ'!$F$5:$F$604))</f>
        <v/>
      </c>
      <c r="G103" s="78">
        <f>IF(OR(TRIM(A103)="",N(K103)=0),"",IF(COUNTIFS('レシピ'!$A$5:$A$604,A103,'レシピ'!$F$5:$F$604,"&gt;=0")&lt;K103,"",F103/IF(ISNUMBER(D103),IF(D103&gt;0,D103,1),1)))</f>
        <v/>
      </c>
      <c r="H103" s="46">
        <f>IF(G103="","",IF(ISNUMBER(C103),IF(C103&gt;0,G103/C103,"－"),"－"))</f>
        <v/>
      </c>
      <c r="I103" s="77">
        <f>IF(OR(G103="",NOT(ISNUMBER(C103))),"",C103-G103)</f>
        <v/>
      </c>
      <c r="J103" s="54">
        <f>IF(NOT(ISNUMBER(H103)),"",IF(NOT(ISNUMBER('設定'!$B$8)),"",IF('設定'!$B$8&lt;=0,"",IF(H103&gt;'設定'!$B$8,"目標超え","目標内"))))</f>
        <v/>
      </c>
      <c r="K103" s="79">
        <f>IF(TRIM(A103)="","",COUNTIF('レシピ'!$A$5:$A$604,A103))</f>
        <v/>
      </c>
      <c r="L103" s="31">
        <f>IF(AND(ISNUMBER(C103),ISNUMBER(E103)),C103*E103,"")</f>
        <v/>
      </c>
      <c r="M103" s="31">
        <f>IF(AND(ISNUMBER(G103),ISNUMBER(E103)),G103*E103,"")</f>
        <v/>
      </c>
      <c r="N103" s="33" t="n"/>
      <c r="O103" s="34">
        <f>IF(TRIM(A103)="",IF(COUNTA(B103:E103,N103)&gt;0,"メニュー名がありません",""),IF(COUNTIF($A$8:$A$107,A103)&gt;1,"同じメニュー名があります",IF(N(K103)=0,"レシピに材料がありません",IF(COUNTIFS('レシピ'!$A$5:$A$604,A103,'レシピ'!$F$5:$F$604,"&gt;=0")&lt;K103,"レシピに原価の出ない行があります（レシピの確認の列）",IF(NOT(ISNUMBER(C103)),"売価がありません","")))))</f>
        <v/>
      </c>
    </row>
    <row r="104" ht="17" customHeight="1">
      <c r="A104" s="38" t="n"/>
      <c r="B104" s="36" t="n"/>
      <c r="C104" s="40" t="n"/>
      <c r="D104" s="39" t="n"/>
      <c r="E104" s="39" t="n"/>
      <c r="F104" s="77">
        <f>IF(TRIM(A104)="","",SUMIF('レシピ'!$A$5:$A$604,A104,'レシピ'!$F$5:$F$604))</f>
        <v/>
      </c>
      <c r="G104" s="78">
        <f>IF(OR(TRIM(A104)="",N(K104)=0),"",IF(COUNTIFS('レシピ'!$A$5:$A$604,A104,'レシピ'!$F$5:$F$604,"&gt;=0")&lt;K104,"",F104/IF(ISNUMBER(D104),IF(D104&gt;0,D104,1),1)))</f>
        <v/>
      </c>
      <c r="H104" s="46">
        <f>IF(G104="","",IF(ISNUMBER(C104),IF(C104&gt;0,G104/C104,"－"),"－"))</f>
        <v/>
      </c>
      <c r="I104" s="77">
        <f>IF(OR(G104="",NOT(ISNUMBER(C104))),"",C104-G104)</f>
        <v/>
      </c>
      <c r="J104" s="54">
        <f>IF(NOT(ISNUMBER(H104)),"",IF(NOT(ISNUMBER('設定'!$B$8)),"",IF('設定'!$B$8&lt;=0,"",IF(H104&gt;'設定'!$B$8,"目標超え","目標内"))))</f>
        <v/>
      </c>
      <c r="K104" s="79">
        <f>IF(TRIM(A104)="","",COUNTIF('レシピ'!$A$5:$A$604,A104))</f>
        <v/>
      </c>
      <c r="L104" s="31">
        <f>IF(AND(ISNUMBER(C104),ISNUMBER(E104)),C104*E104,"")</f>
        <v/>
      </c>
      <c r="M104" s="31">
        <f>IF(AND(ISNUMBER(G104),ISNUMBER(E104)),G104*E104,"")</f>
        <v/>
      </c>
      <c r="N104" s="33" t="n"/>
      <c r="O104" s="34">
        <f>IF(TRIM(A104)="",IF(COUNTA(B104:E104,N104)&gt;0,"メニュー名がありません",""),IF(COUNTIF($A$8:$A$107,A104)&gt;1,"同じメニュー名があります",IF(N(K104)=0,"レシピに材料がありません",IF(COUNTIFS('レシピ'!$A$5:$A$604,A104,'レシピ'!$F$5:$F$604,"&gt;=0")&lt;K104,"レシピに原価の出ない行があります（レシピの確認の列）",IF(NOT(ISNUMBER(C104)),"売価がありません","")))))</f>
        <v/>
      </c>
    </row>
    <row r="105" ht="17" customHeight="1">
      <c r="A105" s="38" t="n"/>
      <c r="B105" s="36" t="n"/>
      <c r="C105" s="40" t="n"/>
      <c r="D105" s="39" t="n"/>
      <c r="E105" s="39" t="n"/>
      <c r="F105" s="77">
        <f>IF(TRIM(A105)="","",SUMIF('レシピ'!$A$5:$A$604,A105,'レシピ'!$F$5:$F$604))</f>
        <v/>
      </c>
      <c r="G105" s="78">
        <f>IF(OR(TRIM(A105)="",N(K105)=0),"",IF(COUNTIFS('レシピ'!$A$5:$A$604,A105,'レシピ'!$F$5:$F$604,"&gt;=0")&lt;K105,"",F105/IF(ISNUMBER(D105),IF(D105&gt;0,D105,1),1)))</f>
        <v/>
      </c>
      <c r="H105" s="46">
        <f>IF(G105="","",IF(ISNUMBER(C105),IF(C105&gt;0,G105/C105,"－"),"－"))</f>
        <v/>
      </c>
      <c r="I105" s="77">
        <f>IF(OR(G105="",NOT(ISNUMBER(C105))),"",C105-G105)</f>
        <v/>
      </c>
      <c r="J105" s="54">
        <f>IF(NOT(ISNUMBER(H105)),"",IF(NOT(ISNUMBER('設定'!$B$8)),"",IF('設定'!$B$8&lt;=0,"",IF(H105&gt;'設定'!$B$8,"目標超え","目標内"))))</f>
        <v/>
      </c>
      <c r="K105" s="79">
        <f>IF(TRIM(A105)="","",COUNTIF('レシピ'!$A$5:$A$604,A105))</f>
        <v/>
      </c>
      <c r="L105" s="31">
        <f>IF(AND(ISNUMBER(C105),ISNUMBER(E105)),C105*E105,"")</f>
        <v/>
      </c>
      <c r="M105" s="31">
        <f>IF(AND(ISNUMBER(G105),ISNUMBER(E105)),G105*E105,"")</f>
        <v/>
      </c>
      <c r="N105" s="33" t="n"/>
      <c r="O105" s="34">
        <f>IF(TRIM(A105)="",IF(COUNTA(B105:E105,N105)&gt;0,"メニュー名がありません",""),IF(COUNTIF($A$8:$A$107,A105)&gt;1,"同じメニュー名があります",IF(N(K105)=0,"レシピに材料がありません",IF(COUNTIFS('レシピ'!$A$5:$A$604,A105,'レシピ'!$F$5:$F$604,"&gt;=0")&lt;K105,"レシピに原価の出ない行があります（レシピの確認の列）",IF(NOT(ISNUMBER(C105)),"売価がありません","")))))</f>
        <v/>
      </c>
    </row>
    <row r="106" ht="17" customHeight="1">
      <c r="A106" s="38" t="n"/>
      <c r="B106" s="36" t="n"/>
      <c r="C106" s="40" t="n"/>
      <c r="D106" s="39" t="n"/>
      <c r="E106" s="39" t="n"/>
      <c r="F106" s="77">
        <f>IF(TRIM(A106)="","",SUMIF('レシピ'!$A$5:$A$604,A106,'レシピ'!$F$5:$F$604))</f>
        <v/>
      </c>
      <c r="G106" s="78">
        <f>IF(OR(TRIM(A106)="",N(K106)=0),"",IF(COUNTIFS('レシピ'!$A$5:$A$604,A106,'レシピ'!$F$5:$F$604,"&gt;=0")&lt;K106,"",F106/IF(ISNUMBER(D106),IF(D106&gt;0,D106,1),1)))</f>
        <v/>
      </c>
      <c r="H106" s="46">
        <f>IF(G106="","",IF(ISNUMBER(C106),IF(C106&gt;0,G106/C106,"－"),"－"))</f>
        <v/>
      </c>
      <c r="I106" s="77">
        <f>IF(OR(G106="",NOT(ISNUMBER(C106))),"",C106-G106)</f>
        <v/>
      </c>
      <c r="J106" s="54">
        <f>IF(NOT(ISNUMBER(H106)),"",IF(NOT(ISNUMBER('設定'!$B$8)),"",IF('設定'!$B$8&lt;=0,"",IF(H106&gt;'設定'!$B$8,"目標超え","目標内"))))</f>
        <v/>
      </c>
      <c r="K106" s="79">
        <f>IF(TRIM(A106)="","",COUNTIF('レシピ'!$A$5:$A$604,A106))</f>
        <v/>
      </c>
      <c r="L106" s="31">
        <f>IF(AND(ISNUMBER(C106),ISNUMBER(E106)),C106*E106,"")</f>
        <v/>
      </c>
      <c r="M106" s="31">
        <f>IF(AND(ISNUMBER(G106),ISNUMBER(E106)),G106*E106,"")</f>
        <v/>
      </c>
      <c r="N106" s="33" t="n"/>
      <c r="O106" s="34">
        <f>IF(TRIM(A106)="",IF(COUNTA(B106:E106,N106)&gt;0,"メニュー名がありません",""),IF(COUNTIF($A$8:$A$107,A106)&gt;1,"同じメニュー名があります",IF(N(K106)=0,"レシピに材料がありません",IF(COUNTIFS('レシピ'!$A$5:$A$604,A106,'レシピ'!$F$5:$F$604,"&gt;=0")&lt;K106,"レシピに原価の出ない行があります（レシピの確認の列）",IF(NOT(ISNUMBER(C106)),"売価がありません","")))))</f>
        <v/>
      </c>
    </row>
    <row r="107" ht="17" customHeight="1">
      <c r="A107" s="38" t="n"/>
      <c r="B107" s="36" t="n"/>
      <c r="C107" s="40" t="n"/>
      <c r="D107" s="39" t="n"/>
      <c r="E107" s="39" t="n"/>
      <c r="F107" s="77">
        <f>IF(TRIM(A107)="","",SUMIF('レシピ'!$A$5:$A$604,A107,'レシピ'!$F$5:$F$604))</f>
        <v/>
      </c>
      <c r="G107" s="78">
        <f>IF(OR(TRIM(A107)="",N(K107)=0),"",IF(COUNTIFS('レシピ'!$A$5:$A$604,A107,'レシピ'!$F$5:$F$604,"&gt;=0")&lt;K107,"",F107/IF(ISNUMBER(D107),IF(D107&gt;0,D107,1),1)))</f>
        <v/>
      </c>
      <c r="H107" s="46">
        <f>IF(G107="","",IF(ISNUMBER(C107),IF(C107&gt;0,G107/C107,"－"),"－"))</f>
        <v/>
      </c>
      <c r="I107" s="77">
        <f>IF(OR(G107="",NOT(ISNUMBER(C107))),"",C107-G107)</f>
        <v/>
      </c>
      <c r="J107" s="54">
        <f>IF(NOT(ISNUMBER(H107)),"",IF(NOT(ISNUMBER('設定'!$B$8)),"",IF('設定'!$B$8&lt;=0,"",IF(H107&gt;'設定'!$B$8,"目標超え","目標内"))))</f>
        <v/>
      </c>
      <c r="K107" s="79">
        <f>IF(TRIM(A107)="","",COUNTIF('レシピ'!$A$5:$A$604,A107))</f>
        <v/>
      </c>
      <c r="L107" s="31">
        <f>IF(AND(ISNUMBER(C107),ISNUMBER(E107)),C107*E107,"")</f>
        <v/>
      </c>
      <c r="M107" s="31">
        <f>IF(AND(ISNUMBER(G107),ISNUMBER(E107)),G107*E107,"")</f>
        <v/>
      </c>
      <c r="N107" s="33" t="n"/>
      <c r="O107" s="34">
        <f>IF(TRIM(A107)="",IF(COUNTA(B107:E107,N107)&gt;0,"メニュー名がありません",""),IF(COUNTIF($A$8:$A$107,A107)&gt;1,"同じメニュー名があります",IF(N(K107)=0,"レシピに材料がありません",IF(COUNTIFS('レシピ'!$A$5:$A$604,A107,'レシピ'!$F$5:$F$604,"&gt;=0")&lt;K107,"レシピに原価の出ない行があります（レシピの確認の列）",IF(NOT(ISNUMBER(C107)),"売価がありません","")))))</f>
        <v/>
      </c>
    </row>
  </sheetData>
  <autoFilter ref="A7:O107"/>
  <mergeCells count="4">
    <mergeCell ref="F5:O5"/>
    <mergeCell ref="A1:O1"/>
    <mergeCell ref="A3:O3"/>
    <mergeCell ref="A2:O2"/>
  </mergeCells>
  <conditionalFormatting sqref="O8:O107">
    <cfRule type="expression" priority="1" dxfId="1">
      <formula>LEN(O8)&gt;0</formula>
    </cfRule>
  </conditionalFormatting>
  <conditionalFormatting sqref="J8:J107">
    <cfRule type="expression" priority="2" dxfId="0">
      <formula>J8="目標超え"</formula>
    </cfRule>
    <cfRule type="expression" priority="3" dxfId="3">
      <formula>J8="目標内"</formula>
    </cfRule>
  </conditionalFormatting>
  <conditionalFormatting sqref="H8:H107">
    <cfRule type="expression" priority="4" dxfId="1">
      <formula>$J8="目標超え"</formula>
    </cfRule>
  </conditionalFormatting>
  <dataValidations count="3">
    <dataValidation sqref="C8:C107" showDropDown="0" showInputMessage="0" showErrorMessage="1" allowBlank="1" errorTitle="数字を入れてください" error="0以上の数字を入れてください。" type="decimal" operator="between">
      <formula1>0</formula1>
      <formula2>999999999</formula2>
    </dataValidation>
    <dataValidation sqref="D8:D107" showDropDown="0" showInputMessage="0" showErrorMessage="1" allowBlank="1" errorTitle="数字を入れてください" error="何人前かを数字で入れてください（1人前なら空欄でも可）。" type="decimal" operator="between">
      <formula1>0.01</formula1>
      <formula2>9999</formula2>
    </dataValidation>
    <dataValidation sqref="E8:E107" showDropDown="0" showInputMessage="0" showErrorMessage="1" allowBlank="1" errorTitle="数字を入れてください" error="0以上の数字を入れてください。" type="decimal" operator="between">
      <formula1>0</formula1>
      <formula2>999999999</formula2>
    </dataValidation>
  </dataValidations>
  <printOptions horizontalCentered="1"/>
  <pageMargins left="0.4" right="0.4" top="0.45" bottom="0.45" header="0.2" footer="0.2"/>
  <pageSetup orientation="landscape" paperSize="9" fitToHeight="0" fitToWidth="1"/>
</worksheet>
</file>

<file path=xl/worksheets/sheet10.xml><?xml version="1.0" encoding="utf-8"?>
<worksheet xmlns="http://schemas.openxmlformats.org/spreadsheetml/2006/main">
  <sheetPr>
    <tabColor rgb="00C9A227"/>
    <outlinePr summaryBelow="1" summaryRight="1"/>
    <pageSetUpPr fitToPage="1"/>
  </sheetPr>
  <dimension ref="A1:H604"/>
  <sheetViews>
    <sheetView showGridLines="0" tabSelected="0"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2" customWidth="1" min="1" max="1"/>
    <col width="24" customWidth="1" min="2" max="2"/>
    <col width="9" customWidth="1" min="3" max="3"/>
    <col width="7" customWidth="1" min="4" max="4"/>
    <col width="13" customWidth="1" min="5" max="5"/>
    <col width="10" customWidth="1" min="6" max="6"/>
    <col width="18" customWidth="1" min="7" max="7"/>
    <col width="34" customWidth="1" min="8" max="8"/>
  </cols>
  <sheetData>
    <row r="1" ht="26" customHeight="1">
      <c r="A1" s="81" t="inlineStr">
        <is>
          <t>レシピ（メニューに使う材料と量）</t>
        </is>
      </c>
      <c r="B1" s="82" t="n"/>
      <c r="C1" s="82" t="n"/>
      <c r="D1" s="82" t="n"/>
      <c r="E1" s="82" t="n"/>
      <c r="F1" s="82" t="n"/>
      <c r="G1" s="82" t="n"/>
      <c r="H1" s="82" t="n"/>
    </row>
    <row r="2">
      <c r="A2" s="92">
        <f>IF(TRIM('設定'!$B$7)&lt;&gt;"",TRIM('設定'!$B$7),TRIM('設定'!$B$3))&amp;"　（メニューごとに材料を1行ずつ）"</f>
        <v/>
      </c>
      <c r="B2" s="82" t="n"/>
      <c r="C2" s="82" t="n"/>
      <c r="D2" s="82" t="n"/>
      <c r="E2" s="82" t="n"/>
      <c r="F2" s="82" t="n"/>
      <c r="G2" s="82" t="n"/>
      <c r="H2" s="82" t="n"/>
    </row>
    <row r="3" ht="30" customHeight="1">
      <c r="A3" s="85" t="inlineStr">
        <is>
          <t>メニュー名と食材名は一覧から選びます（先にメニュー原価率・食材の単価に入れておく）。使用量は食材の単価の単位で入れます（g・ml・個など）。仕込みをまとめて作るメニューは、まとめて作る量を入れ、メニュー原価率の「何人前」に人数を入れます。</t>
        </is>
      </c>
      <c r="B3" s="82" t="n"/>
      <c r="C3" s="82" t="n"/>
      <c r="D3" s="82" t="n"/>
      <c r="E3" s="82" t="n"/>
      <c r="F3" s="82" t="n"/>
      <c r="G3" s="82" t="n"/>
      <c r="H3" s="82" t="n"/>
    </row>
    <row r="4" ht="30" customHeight="1">
      <c r="A4" s="18" t="inlineStr">
        <is>
          <t>メニュー名</t>
        </is>
      </c>
      <c r="B4" s="18" t="inlineStr">
        <is>
          <t>食材名</t>
        </is>
      </c>
      <c r="C4" s="18" t="inlineStr">
        <is>
          <t>使用量</t>
        </is>
      </c>
      <c r="D4" s="26" t="inlineStr">
        <is>
          <t>単位
（自動）</t>
        </is>
      </c>
      <c r="E4" s="26" t="inlineStr">
        <is>
          <t>1単位あたりの
原価（自動）</t>
        </is>
      </c>
      <c r="F4" s="26" t="inlineStr">
        <is>
          <t>原価
（自動）</t>
        </is>
      </c>
      <c r="G4" s="18" t="inlineStr">
        <is>
          <t>メモ</t>
        </is>
      </c>
      <c r="H4" s="26" t="inlineStr">
        <is>
          <t>確認</t>
        </is>
      </c>
    </row>
    <row r="5" ht="16" customHeight="1">
      <c r="A5" s="38" t="n"/>
      <c r="B5" s="38" t="n"/>
      <c r="C5" s="39" t="n"/>
      <c r="D5" s="53">
        <f>IF(B5="","",IFERROR(INDEX('食材の単価'!$D$5:$D$204,MATCH(B5,'食材の単価'!$A$5:$A$204,0))&amp;"",""))</f>
        <v/>
      </c>
      <c r="E5" s="80">
        <f>IF(B5="","",IFERROR(INDEX('食材の単価'!$G$5:$G$204,MATCH(B5,'食材の単価'!$A$5:$A$204,0)),""))</f>
        <v/>
      </c>
      <c r="F5" s="78">
        <f>IF(AND(ISNUMBER(C5),ISNUMBER(E5)),C5*E5,"")</f>
        <v/>
      </c>
      <c r="G5" s="33" t="n"/>
      <c r="H5" s="34">
        <f>IF(COUNTA(A5:C5,G5)=0,"",IF(TRIM(A5)="","メニュー名がありません",IF(ISNA(MATCH(A5,'メニュー原価率'!$A$8:$A$107,0)),"メニュー原価率に無いメニューです",IF(TRIM(B5)="","食材名がありません",IF(ISNA(MATCH(B5,'食材の単価'!$A$5:$A$204,0)),"食材の単価に無い食材です",IF(NOT(ISNUMBER(C5)),"使用量がありません",IF(NOT(ISNUMBER(E5)),"食材の単価が出ていません（仕入価格・仕入量）","")))))))</f>
        <v/>
      </c>
    </row>
    <row r="6" ht="16" customHeight="1">
      <c r="A6" s="38" t="n"/>
      <c r="B6" s="38" t="n"/>
      <c r="C6" s="39" t="n"/>
      <c r="D6" s="53">
        <f>IF(B6="","",IFERROR(INDEX('食材の単価'!$D$5:$D$204,MATCH(B6,'食材の単価'!$A$5:$A$204,0))&amp;"",""))</f>
        <v/>
      </c>
      <c r="E6" s="80">
        <f>IF(B6="","",IFERROR(INDEX('食材の単価'!$G$5:$G$204,MATCH(B6,'食材の単価'!$A$5:$A$204,0)),""))</f>
        <v/>
      </c>
      <c r="F6" s="78">
        <f>IF(AND(ISNUMBER(C6),ISNUMBER(E6)),C6*E6,"")</f>
        <v/>
      </c>
      <c r="G6" s="33" t="n"/>
      <c r="H6" s="34">
        <f>IF(COUNTA(A6:C6,G6)=0,"",IF(TRIM(A6)="","メニュー名がありません",IF(ISNA(MATCH(A6,'メニュー原価率'!$A$8:$A$107,0)),"メニュー原価率に無いメニューです",IF(TRIM(B6)="","食材名がありません",IF(ISNA(MATCH(B6,'食材の単価'!$A$5:$A$204,0)),"食材の単価に無い食材です",IF(NOT(ISNUMBER(C6)),"使用量がありません",IF(NOT(ISNUMBER(E6)),"食材の単価が出ていません（仕入価格・仕入量）","")))))))</f>
        <v/>
      </c>
    </row>
    <row r="7" ht="16" customHeight="1">
      <c r="A7" s="38" t="n"/>
      <c r="B7" s="38" t="n"/>
      <c r="C7" s="39" t="n"/>
      <c r="D7" s="53">
        <f>IF(B7="","",IFERROR(INDEX('食材の単価'!$D$5:$D$204,MATCH(B7,'食材の単価'!$A$5:$A$204,0))&amp;"",""))</f>
        <v/>
      </c>
      <c r="E7" s="80">
        <f>IF(B7="","",IFERROR(INDEX('食材の単価'!$G$5:$G$204,MATCH(B7,'食材の単価'!$A$5:$A$204,0)),""))</f>
        <v/>
      </c>
      <c r="F7" s="78">
        <f>IF(AND(ISNUMBER(C7),ISNUMBER(E7)),C7*E7,"")</f>
        <v/>
      </c>
      <c r="G7" s="33" t="n"/>
      <c r="H7" s="34">
        <f>IF(COUNTA(A7:C7,G7)=0,"",IF(TRIM(A7)="","メニュー名がありません",IF(ISNA(MATCH(A7,'メニュー原価率'!$A$8:$A$107,0)),"メニュー原価率に無いメニューです",IF(TRIM(B7)="","食材名がありません",IF(ISNA(MATCH(B7,'食材の単価'!$A$5:$A$204,0)),"食材の単価に無い食材です",IF(NOT(ISNUMBER(C7)),"使用量がありません",IF(NOT(ISNUMBER(E7)),"食材の単価が出ていません（仕入価格・仕入量）","")))))))</f>
        <v/>
      </c>
    </row>
    <row r="8" ht="16" customHeight="1">
      <c r="A8" s="38" t="n"/>
      <c r="B8" s="38" t="n"/>
      <c r="C8" s="39" t="n"/>
      <c r="D8" s="53">
        <f>IF(B8="","",IFERROR(INDEX('食材の単価'!$D$5:$D$204,MATCH(B8,'食材の単価'!$A$5:$A$204,0))&amp;"",""))</f>
        <v/>
      </c>
      <c r="E8" s="80">
        <f>IF(B8="","",IFERROR(INDEX('食材の単価'!$G$5:$G$204,MATCH(B8,'食材の単価'!$A$5:$A$204,0)),""))</f>
        <v/>
      </c>
      <c r="F8" s="78">
        <f>IF(AND(ISNUMBER(C8),ISNUMBER(E8)),C8*E8,"")</f>
        <v/>
      </c>
      <c r="G8" s="33" t="n"/>
      <c r="H8" s="34">
        <f>IF(COUNTA(A8:C8,G8)=0,"",IF(TRIM(A8)="","メニュー名がありません",IF(ISNA(MATCH(A8,'メニュー原価率'!$A$8:$A$107,0)),"メニュー原価率に無いメニューです",IF(TRIM(B8)="","食材名がありません",IF(ISNA(MATCH(B8,'食材の単価'!$A$5:$A$204,0)),"食材の単価に無い食材です",IF(NOT(ISNUMBER(C8)),"使用量がありません",IF(NOT(ISNUMBER(E8)),"食材の単価が出ていません（仕入価格・仕入量）","")))))))</f>
        <v/>
      </c>
    </row>
    <row r="9" ht="16" customHeight="1">
      <c r="A9" s="38" t="n"/>
      <c r="B9" s="38" t="n"/>
      <c r="C9" s="39" t="n"/>
      <c r="D9" s="53">
        <f>IF(B9="","",IFERROR(INDEX('食材の単価'!$D$5:$D$204,MATCH(B9,'食材の単価'!$A$5:$A$204,0))&amp;"",""))</f>
        <v/>
      </c>
      <c r="E9" s="80">
        <f>IF(B9="","",IFERROR(INDEX('食材の単価'!$G$5:$G$204,MATCH(B9,'食材の単価'!$A$5:$A$204,0)),""))</f>
        <v/>
      </c>
      <c r="F9" s="78">
        <f>IF(AND(ISNUMBER(C9),ISNUMBER(E9)),C9*E9,"")</f>
        <v/>
      </c>
      <c r="G9" s="33" t="n"/>
      <c r="H9" s="34">
        <f>IF(COUNTA(A9:C9,G9)=0,"",IF(TRIM(A9)="","メニュー名がありません",IF(ISNA(MATCH(A9,'メニュー原価率'!$A$8:$A$107,0)),"メニュー原価率に無いメニューです",IF(TRIM(B9)="","食材名がありません",IF(ISNA(MATCH(B9,'食材の単価'!$A$5:$A$204,0)),"食材の単価に無い食材です",IF(NOT(ISNUMBER(C9)),"使用量がありません",IF(NOT(ISNUMBER(E9)),"食材の単価が出ていません（仕入価格・仕入量）","")))))))</f>
        <v/>
      </c>
    </row>
    <row r="10" ht="16" customHeight="1">
      <c r="A10" s="38" t="n"/>
      <c r="B10" s="38" t="n"/>
      <c r="C10" s="39" t="n"/>
      <c r="D10" s="53">
        <f>IF(B10="","",IFERROR(INDEX('食材の単価'!$D$5:$D$204,MATCH(B10,'食材の単価'!$A$5:$A$204,0))&amp;"",""))</f>
        <v/>
      </c>
      <c r="E10" s="80">
        <f>IF(B10="","",IFERROR(INDEX('食材の単価'!$G$5:$G$204,MATCH(B10,'食材の単価'!$A$5:$A$204,0)),""))</f>
        <v/>
      </c>
      <c r="F10" s="78">
        <f>IF(AND(ISNUMBER(C10),ISNUMBER(E10)),C10*E10,"")</f>
        <v/>
      </c>
      <c r="G10" s="33" t="n"/>
      <c r="H10" s="34">
        <f>IF(COUNTA(A10:C10,G10)=0,"",IF(TRIM(A10)="","メニュー名がありません",IF(ISNA(MATCH(A10,'メニュー原価率'!$A$8:$A$107,0)),"メニュー原価率に無いメニューです",IF(TRIM(B10)="","食材名がありません",IF(ISNA(MATCH(B10,'食材の単価'!$A$5:$A$204,0)),"食材の単価に無い食材です",IF(NOT(ISNUMBER(C10)),"使用量がありません",IF(NOT(ISNUMBER(E10)),"食材の単価が出ていません（仕入価格・仕入量）","")))))))</f>
        <v/>
      </c>
    </row>
    <row r="11" ht="16" customHeight="1">
      <c r="A11" s="38" t="n"/>
      <c r="B11" s="38" t="n"/>
      <c r="C11" s="39" t="n"/>
      <c r="D11" s="53">
        <f>IF(B11="","",IFERROR(INDEX('食材の単価'!$D$5:$D$204,MATCH(B11,'食材の単価'!$A$5:$A$204,0))&amp;"",""))</f>
        <v/>
      </c>
      <c r="E11" s="80">
        <f>IF(B11="","",IFERROR(INDEX('食材の単価'!$G$5:$G$204,MATCH(B11,'食材の単価'!$A$5:$A$204,0)),""))</f>
        <v/>
      </c>
      <c r="F11" s="78">
        <f>IF(AND(ISNUMBER(C11),ISNUMBER(E11)),C11*E11,"")</f>
        <v/>
      </c>
      <c r="G11" s="33" t="n"/>
      <c r="H11" s="34">
        <f>IF(COUNTA(A11:C11,G11)=0,"",IF(TRIM(A11)="","メニュー名がありません",IF(ISNA(MATCH(A11,'メニュー原価率'!$A$8:$A$107,0)),"メニュー原価率に無いメニューです",IF(TRIM(B11)="","食材名がありません",IF(ISNA(MATCH(B11,'食材の単価'!$A$5:$A$204,0)),"食材の単価に無い食材です",IF(NOT(ISNUMBER(C11)),"使用量がありません",IF(NOT(ISNUMBER(E11)),"食材の単価が出ていません（仕入価格・仕入量）","")))))))</f>
        <v/>
      </c>
    </row>
    <row r="12" ht="16" customHeight="1">
      <c r="A12" s="38" t="n"/>
      <c r="B12" s="38" t="n"/>
      <c r="C12" s="39" t="n"/>
      <c r="D12" s="53">
        <f>IF(B12="","",IFERROR(INDEX('食材の単価'!$D$5:$D$204,MATCH(B12,'食材の単価'!$A$5:$A$204,0))&amp;"",""))</f>
        <v/>
      </c>
      <c r="E12" s="80">
        <f>IF(B12="","",IFERROR(INDEX('食材の単価'!$G$5:$G$204,MATCH(B12,'食材の単価'!$A$5:$A$204,0)),""))</f>
        <v/>
      </c>
      <c r="F12" s="78">
        <f>IF(AND(ISNUMBER(C12),ISNUMBER(E12)),C12*E12,"")</f>
        <v/>
      </c>
      <c r="G12" s="33" t="n"/>
      <c r="H12" s="34">
        <f>IF(COUNTA(A12:C12,G12)=0,"",IF(TRIM(A12)="","メニュー名がありません",IF(ISNA(MATCH(A12,'メニュー原価率'!$A$8:$A$107,0)),"メニュー原価率に無いメニューです",IF(TRIM(B12)="","食材名がありません",IF(ISNA(MATCH(B12,'食材の単価'!$A$5:$A$204,0)),"食材の単価に無い食材です",IF(NOT(ISNUMBER(C12)),"使用量がありません",IF(NOT(ISNUMBER(E12)),"食材の単価が出ていません（仕入価格・仕入量）","")))))))</f>
        <v/>
      </c>
    </row>
    <row r="13" ht="16" customHeight="1">
      <c r="A13" s="38" t="n"/>
      <c r="B13" s="38" t="n"/>
      <c r="C13" s="39" t="n"/>
      <c r="D13" s="53">
        <f>IF(B13="","",IFERROR(INDEX('食材の単価'!$D$5:$D$204,MATCH(B13,'食材の単価'!$A$5:$A$204,0))&amp;"",""))</f>
        <v/>
      </c>
      <c r="E13" s="80">
        <f>IF(B13="","",IFERROR(INDEX('食材の単価'!$G$5:$G$204,MATCH(B13,'食材の単価'!$A$5:$A$204,0)),""))</f>
        <v/>
      </c>
      <c r="F13" s="78">
        <f>IF(AND(ISNUMBER(C13),ISNUMBER(E13)),C13*E13,"")</f>
        <v/>
      </c>
      <c r="G13" s="33" t="n"/>
      <c r="H13" s="34">
        <f>IF(COUNTA(A13:C13,G13)=0,"",IF(TRIM(A13)="","メニュー名がありません",IF(ISNA(MATCH(A13,'メニュー原価率'!$A$8:$A$107,0)),"メニュー原価率に無いメニューです",IF(TRIM(B13)="","食材名がありません",IF(ISNA(MATCH(B13,'食材の単価'!$A$5:$A$204,0)),"食材の単価に無い食材です",IF(NOT(ISNUMBER(C13)),"使用量がありません",IF(NOT(ISNUMBER(E13)),"食材の単価が出ていません（仕入価格・仕入量）","")))))))</f>
        <v/>
      </c>
    </row>
    <row r="14" ht="16" customHeight="1">
      <c r="A14" s="38" t="n"/>
      <c r="B14" s="38" t="n"/>
      <c r="C14" s="39" t="n"/>
      <c r="D14" s="53">
        <f>IF(B14="","",IFERROR(INDEX('食材の単価'!$D$5:$D$204,MATCH(B14,'食材の単価'!$A$5:$A$204,0))&amp;"",""))</f>
        <v/>
      </c>
      <c r="E14" s="80">
        <f>IF(B14="","",IFERROR(INDEX('食材の単価'!$G$5:$G$204,MATCH(B14,'食材の単価'!$A$5:$A$204,0)),""))</f>
        <v/>
      </c>
      <c r="F14" s="78">
        <f>IF(AND(ISNUMBER(C14),ISNUMBER(E14)),C14*E14,"")</f>
        <v/>
      </c>
      <c r="G14" s="33" t="n"/>
      <c r="H14" s="34">
        <f>IF(COUNTA(A14:C14,G14)=0,"",IF(TRIM(A14)="","メニュー名がありません",IF(ISNA(MATCH(A14,'メニュー原価率'!$A$8:$A$107,0)),"メニュー原価率に無いメニューです",IF(TRIM(B14)="","食材名がありません",IF(ISNA(MATCH(B14,'食材の単価'!$A$5:$A$204,0)),"食材の単価に無い食材です",IF(NOT(ISNUMBER(C14)),"使用量がありません",IF(NOT(ISNUMBER(E14)),"食材の単価が出ていません（仕入価格・仕入量）","")))))))</f>
        <v/>
      </c>
    </row>
    <row r="15" ht="16" customHeight="1">
      <c r="A15" s="38" t="n"/>
      <c r="B15" s="38" t="n"/>
      <c r="C15" s="39" t="n"/>
      <c r="D15" s="53">
        <f>IF(B15="","",IFERROR(INDEX('食材の単価'!$D$5:$D$204,MATCH(B15,'食材の単価'!$A$5:$A$204,0))&amp;"",""))</f>
        <v/>
      </c>
      <c r="E15" s="80">
        <f>IF(B15="","",IFERROR(INDEX('食材の単価'!$G$5:$G$204,MATCH(B15,'食材の単価'!$A$5:$A$204,0)),""))</f>
        <v/>
      </c>
      <c r="F15" s="78">
        <f>IF(AND(ISNUMBER(C15),ISNUMBER(E15)),C15*E15,"")</f>
        <v/>
      </c>
      <c r="G15" s="33" t="n"/>
      <c r="H15" s="34">
        <f>IF(COUNTA(A15:C15,G15)=0,"",IF(TRIM(A15)="","メニュー名がありません",IF(ISNA(MATCH(A15,'メニュー原価率'!$A$8:$A$107,0)),"メニュー原価率に無いメニューです",IF(TRIM(B15)="","食材名がありません",IF(ISNA(MATCH(B15,'食材の単価'!$A$5:$A$204,0)),"食材の単価に無い食材です",IF(NOT(ISNUMBER(C15)),"使用量がありません",IF(NOT(ISNUMBER(E15)),"食材の単価が出ていません（仕入価格・仕入量）","")))))))</f>
        <v/>
      </c>
    </row>
    <row r="16" ht="16" customHeight="1">
      <c r="A16" s="38" t="n"/>
      <c r="B16" s="38" t="n"/>
      <c r="C16" s="39" t="n"/>
      <c r="D16" s="53">
        <f>IF(B16="","",IFERROR(INDEX('食材の単価'!$D$5:$D$204,MATCH(B16,'食材の単価'!$A$5:$A$204,0))&amp;"",""))</f>
        <v/>
      </c>
      <c r="E16" s="80">
        <f>IF(B16="","",IFERROR(INDEX('食材の単価'!$G$5:$G$204,MATCH(B16,'食材の単価'!$A$5:$A$204,0)),""))</f>
        <v/>
      </c>
      <c r="F16" s="78">
        <f>IF(AND(ISNUMBER(C16),ISNUMBER(E16)),C16*E16,"")</f>
        <v/>
      </c>
      <c r="G16" s="33" t="n"/>
      <c r="H16" s="34">
        <f>IF(COUNTA(A16:C16,G16)=0,"",IF(TRIM(A16)="","メニュー名がありません",IF(ISNA(MATCH(A16,'メニュー原価率'!$A$8:$A$107,0)),"メニュー原価率に無いメニューです",IF(TRIM(B16)="","食材名がありません",IF(ISNA(MATCH(B16,'食材の単価'!$A$5:$A$204,0)),"食材の単価に無い食材です",IF(NOT(ISNUMBER(C16)),"使用量がありません",IF(NOT(ISNUMBER(E16)),"食材の単価が出ていません（仕入価格・仕入量）","")))))))</f>
        <v/>
      </c>
    </row>
    <row r="17" ht="16" customHeight="1">
      <c r="A17" s="38" t="n"/>
      <c r="B17" s="38" t="n"/>
      <c r="C17" s="39" t="n"/>
      <c r="D17" s="53">
        <f>IF(B17="","",IFERROR(INDEX('食材の単価'!$D$5:$D$204,MATCH(B17,'食材の単価'!$A$5:$A$204,0))&amp;"",""))</f>
        <v/>
      </c>
      <c r="E17" s="80">
        <f>IF(B17="","",IFERROR(INDEX('食材の単価'!$G$5:$G$204,MATCH(B17,'食材の単価'!$A$5:$A$204,0)),""))</f>
        <v/>
      </c>
      <c r="F17" s="78">
        <f>IF(AND(ISNUMBER(C17),ISNUMBER(E17)),C17*E17,"")</f>
        <v/>
      </c>
      <c r="G17" s="33" t="n"/>
      <c r="H17" s="34">
        <f>IF(COUNTA(A17:C17,G17)=0,"",IF(TRIM(A17)="","メニュー名がありません",IF(ISNA(MATCH(A17,'メニュー原価率'!$A$8:$A$107,0)),"メニュー原価率に無いメニューです",IF(TRIM(B17)="","食材名がありません",IF(ISNA(MATCH(B17,'食材の単価'!$A$5:$A$204,0)),"食材の単価に無い食材です",IF(NOT(ISNUMBER(C17)),"使用量がありません",IF(NOT(ISNUMBER(E17)),"食材の単価が出ていません（仕入価格・仕入量）","")))))))</f>
        <v/>
      </c>
    </row>
    <row r="18" ht="16" customHeight="1">
      <c r="A18" s="38" t="n"/>
      <c r="B18" s="38" t="n"/>
      <c r="C18" s="39" t="n"/>
      <c r="D18" s="53">
        <f>IF(B18="","",IFERROR(INDEX('食材の単価'!$D$5:$D$204,MATCH(B18,'食材の単価'!$A$5:$A$204,0))&amp;"",""))</f>
        <v/>
      </c>
      <c r="E18" s="80">
        <f>IF(B18="","",IFERROR(INDEX('食材の単価'!$G$5:$G$204,MATCH(B18,'食材の単価'!$A$5:$A$204,0)),""))</f>
        <v/>
      </c>
      <c r="F18" s="78">
        <f>IF(AND(ISNUMBER(C18),ISNUMBER(E18)),C18*E18,"")</f>
        <v/>
      </c>
      <c r="G18" s="33" t="n"/>
      <c r="H18" s="34">
        <f>IF(COUNTA(A18:C18,G18)=0,"",IF(TRIM(A18)="","メニュー名がありません",IF(ISNA(MATCH(A18,'メニュー原価率'!$A$8:$A$107,0)),"メニュー原価率に無いメニューです",IF(TRIM(B18)="","食材名がありません",IF(ISNA(MATCH(B18,'食材の単価'!$A$5:$A$204,0)),"食材の単価に無い食材です",IF(NOT(ISNUMBER(C18)),"使用量がありません",IF(NOT(ISNUMBER(E18)),"食材の単価が出ていません（仕入価格・仕入量）","")))))))</f>
        <v/>
      </c>
    </row>
    <row r="19" ht="16" customHeight="1">
      <c r="A19" s="38" t="n"/>
      <c r="B19" s="38" t="n"/>
      <c r="C19" s="39" t="n"/>
      <c r="D19" s="53">
        <f>IF(B19="","",IFERROR(INDEX('食材の単価'!$D$5:$D$204,MATCH(B19,'食材の単価'!$A$5:$A$204,0))&amp;"",""))</f>
        <v/>
      </c>
      <c r="E19" s="80">
        <f>IF(B19="","",IFERROR(INDEX('食材の単価'!$G$5:$G$204,MATCH(B19,'食材の単価'!$A$5:$A$204,0)),""))</f>
        <v/>
      </c>
      <c r="F19" s="78">
        <f>IF(AND(ISNUMBER(C19),ISNUMBER(E19)),C19*E19,"")</f>
        <v/>
      </c>
      <c r="G19" s="33" t="n"/>
      <c r="H19" s="34">
        <f>IF(COUNTA(A19:C19,G19)=0,"",IF(TRIM(A19)="","メニュー名がありません",IF(ISNA(MATCH(A19,'メニュー原価率'!$A$8:$A$107,0)),"メニュー原価率に無いメニューです",IF(TRIM(B19)="","食材名がありません",IF(ISNA(MATCH(B19,'食材の単価'!$A$5:$A$204,0)),"食材の単価に無い食材です",IF(NOT(ISNUMBER(C19)),"使用量がありません",IF(NOT(ISNUMBER(E19)),"食材の単価が出ていません（仕入価格・仕入量）","")))))))</f>
        <v/>
      </c>
    </row>
    <row r="20" ht="16" customHeight="1">
      <c r="A20" s="38" t="n"/>
      <c r="B20" s="38" t="n"/>
      <c r="C20" s="39" t="n"/>
      <c r="D20" s="53">
        <f>IF(B20="","",IFERROR(INDEX('食材の単価'!$D$5:$D$204,MATCH(B20,'食材の単価'!$A$5:$A$204,0))&amp;"",""))</f>
        <v/>
      </c>
      <c r="E20" s="80">
        <f>IF(B20="","",IFERROR(INDEX('食材の単価'!$G$5:$G$204,MATCH(B20,'食材の単価'!$A$5:$A$204,0)),""))</f>
        <v/>
      </c>
      <c r="F20" s="78">
        <f>IF(AND(ISNUMBER(C20),ISNUMBER(E20)),C20*E20,"")</f>
        <v/>
      </c>
      <c r="G20" s="33" t="n"/>
      <c r="H20" s="34">
        <f>IF(COUNTA(A20:C20,G20)=0,"",IF(TRIM(A20)="","メニュー名がありません",IF(ISNA(MATCH(A20,'メニュー原価率'!$A$8:$A$107,0)),"メニュー原価率に無いメニューです",IF(TRIM(B20)="","食材名がありません",IF(ISNA(MATCH(B20,'食材の単価'!$A$5:$A$204,0)),"食材の単価に無い食材です",IF(NOT(ISNUMBER(C20)),"使用量がありません",IF(NOT(ISNUMBER(E20)),"食材の単価が出ていません（仕入価格・仕入量）","")))))))</f>
        <v/>
      </c>
    </row>
    <row r="21" ht="16" customHeight="1">
      <c r="A21" s="38" t="n"/>
      <c r="B21" s="38" t="n"/>
      <c r="C21" s="39" t="n"/>
      <c r="D21" s="53">
        <f>IF(B21="","",IFERROR(INDEX('食材の単価'!$D$5:$D$204,MATCH(B21,'食材の単価'!$A$5:$A$204,0))&amp;"",""))</f>
        <v/>
      </c>
      <c r="E21" s="80">
        <f>IF(B21="","",IFERROR(INDEX('食材の単価'!$G$5:$G$204,MATCH(B21,'食材の単価'!$A$5:$A$204,0)),""))</f>
        <v/>
      </c>
      <c r="F21" s="78">
        <f>IF(AND(ISNUMBER(C21),ISNUMBER(E21)),C21*E21,"")</f>
        <v/>
      </c>
      <c r="G21" s="33" t="n"/>
      <c r="H21" s="34">
        <f>IF(COUNTA(A21:C21,G21)=0,"",IF(TRIM(A21)="","メニュー名がありません",IF(ISNA(MATCH(A21,'メニュー原価率'!$A$8:$A$107,0)),"メニュー原価率に無いメニューです",IF(TRIM(B21)="","食材名がありません",IF(ISNA(MATCH(B21,'食材の単価'!$A$5:$A$204,0)),"食材の単価に無い食材です",IF(NOT(ISNUMBER(C21)),"使用量がありません",IF(NOT(ISNUMBER(E21)),"食材の単価が出ていません（仕入価格・仕入量）","")))))))</f>
        <v/>
      </c>
    </row>
    <row r="22" ht="16" customHeight="1">
      <c r="A22" s="38" t="n"/>
      <c r="B22" s="38" t="n"/>
      <c r="C22" s="39" t="n"/>
      <c r="D22" s="53">
        <f>IF(B22="","",IFERROR(INDEX('食材の単価'!$D$5:$D$204,MATCH(B22,'食材の単価'!$A$5:$A$204,0))&amp;"",""))</f>
        <v/>
      </c>
      <c r="E22" s="80">
        <f>IF(B22="","",IFERROR(INDEX('食材の単価'!$G$5:$G$204,MATCH(B22,'食材の単価'!$A$5:$A$204,0)),""))</f>
        <v/>
      </c>
      <c r="F22" s="78">
        <f>IF(AND(ISNUMBER(C22),ISNUMBER(E22)),C22*E22,"")</f>
        <v/>
      </c>
      <c r="G22" s="33" t="n"/>
      <c r="H22" s="34">
        <f>IF(COUNTA(A22:C22,G22)=0,"",IF(TRIM(A22)="","メニュー名がありません",IF(ISNA(MATCH(A22,'メニュー原価率'!$A$8:$A$107,0)),"メニュー原価率に無いメニューです",IF(TRIM(B22)="","食材名がありません",IF(ISNA(MATCH(B22,'食材の単価'!$A$5:$A$204,0)),"食材の単価に無い食材です",IF(NOT(ISNUMBER(C22)),"使用量がありません",IF(NOT(ISNUMBER(E22)),"食材の単価が出ていません（仕入価格・仕入量）","")))))))</f>
        <v/>
      </c>
    </row>
    <row r="23" ht="16" customHeight="1">
      <c r="A23" s="38" t="n"/>
      <c r="B23" s="38" t="n"/>
      <c r="C23" s="39" t="n"/>
      <c r="D23" s="53">
        <f>IF(B23="","",IFERROR(INDEX('食材の単価'!$D$5:$D$204,MATCH(B23,'食材の単価'!$A$5:$A$204,0))&amp;"",""))</f>
        <v/>
      </c>
      <c r="E23" s="80">
        <f>IF(B23="","",IFERROR(INDEX('食材の単価'!$G$5:$G$204,MATCH(B23,'食材の単価'!$A$5:$A$204,0)),""))</f>
        <v/>
      </c>
      <c r="F23" s="78">
        <f>IF(AND(ISNUMBER(C23),ISNUMBER(E23)),C23*E23,"")</f>
        <v/>
      </c>
      <c r="G23" s="33" t="n"/>
      <c r="H23" s="34">
        <f>IF(COUNTA(A23:C23,G23)=0,"",IF(TRIM(A23)="","メニュー名がありません",IF(ISNA(MATCH(A23,'メニュー原価率'!$A$8:$A$107,0)),"メニュー原価率に無いメニューです",IF(TRIM(B23)="","食材名がありません",IF(ISNA(MATCH(B23,'食材の単価'!$A$5:$A$204,0)),"食材の単価に無い食材です",IF(NOT(ISNUMBER(C23)),"使用量がありません",IF(NOT(ISNUMBER(E23)),"食材の単価が出ていません（仕入価格・仕入量）","")))))))</f>
        <v/>
      </c>
    </row>
    <row r="24" ht="16" customHeight="1">
      <c r="A24" s="38" t="n"/>
      <c r="B24" s="38" t="n"/>
      <c r="C24" s="39" t="n"/>
      <c r="D24" s="53">
        <f>IF(B24="","",IFERROR(INDEX('食材の単価'!$D$5:$D$204,MATCH(B24,'食材の単価'!$A$5:$A$204,0))&amp;"",""))</f>
        <v/>
      </c>
      <c r="E24" s="80">
        <f>IF(B24="","",IFERROR(INDEX('食材の単価'!$G$5:$G$204,MATCH(B24,'食材の単価'!$A$5:$A$204,0)),""))</f>
        <v/>
      </c>
      <c r="F24" s="78">
        <f>IF(AND(ISNUMBER(C24),ISNUMBER(E24)),C24*E24,"")</f>
        <v/>
      </c>
      <c r="G24" s="33" t="n"/>
      <c r="H24" s="34">
        <f>IF(COUNTA(A24:C24,G24)=0,"",IF(TRIM(A24)="","メニュー名がありません",IF(ISNA(MATCH(A24,'メニュー原価率'!$A$8:$A$107,0)),"メニュー原価率に無いメニューです",IF(TRIM(B24)="","食材名がありません",IF(ISNA(MATCH(B24,'食材の単価'!$A$5:$A$204,0)),"食材の単価に無い食材です",IF(NOT(ISNUMBER(C24)),"使用量がありません",IF(NOT(ISNUMBER(E24)),"食材の単価が出ていません（仕入価格・仕入量）","")))))))</f>
        <v/>
      </c>
    </row>
    <row r="25" ht="16" customHeight="1">
      <c r="A25" s="38" t="n"/>
      <c r="B25" s="38" t="n"/>
      <c r="C25" s="39" t="n"/>
      <c r="D25" s="53">
        <f>IF(B25="","",IFERROR(INDEX('食材の単価'!$D$5:$D$204,MATCH(B25,'食材の単価'!$A$5:$A$204,0))&amp;"",""))</f>
        <v/>
      </c>
      <c r="E25" s="80">
        <f>IF(B25="","",IFERROR(INDEX('食材の単価'!$G$5:$G$204,MATCH(B25,'食材の単価'!$A$5:$A$204,0)),""))</f>
        <v/>
      </c>
      <c r="F25" s="78">
        <f>IF(AND(ISNUMBER(C25),ISNUMBER(E25)),C25*E25,"")</f>
        <v/>
      </c>
      <c r="G25" s="33" t="n"/>
      <c r="H25" s="34">
        <f>IF(COUNTA(A25:C25,G25)=0,"",IF(TRIM(A25)="","メニュー名がありません",IF(ISNA(MATCH(A25,'メニュー原価率'!$A$8:$A$107,0)),"メニュー原価率に無いメニューです",IF(TRIM(B25)="","食材名がありません",IF(ISNA(MATCH(B25,'食材の単価'!$A$5:$A$204,0)),"食材の単価に無い食材です",IF(NOT(ISNUMBER(C25)),"使用量がありません",IF(NOT(ISNUMBER(E25)),"食材の単価が出ていません（仕入価格・仕入量）","")))))))</f>
        <v/>
      </c>
    </row>
    <row r="26" ht="16" customHeight="1">
      <c r="A26" s="38" t="n"/>
      <c r="B26" s="38" t="n"/>
      <c r="C26" s="39" t="n"/>
      <c r="D26" s="53">
        <f>IF(B26="","",IFERROR(INDEX('食材の単価'!$D$5:$D$204,MATCH(B26,'食材の単価'!$A$5:$A$204,0))&amp;"",""))</f>
        <v/>
      </c>
      <c r="E26" s="80">
        <f>IF(B26="","",IFERROR(INDEX('食材の単価'!$G$5:$G$204,MATCH(B26,'食材の単価'!$A$5:$A$204,0)),""))</f>
        <v/>
      </c>
      <c r="F26" s="78">
        <f>IF(AND(ISNUMBER(C26),ISNUMBER(E26)),C26*E26,"")</f>
        <v/>
      </c>
      <c r="G26" s="33" t="n"/>
      <c r="H26" s="34">
        <f>IF(COUNTA(A26:C26,G26)=0,"",IF(TRIM(A26)="","メニュー名がありません",IF(ISNA(MATCH(A26,'メニュー原価率'!$A$8:$A$107,0)),"メニュー原価率に無いメニューです",IF(TRIM(B26)="","食材名がありません",IF(ISNA(MATCH(B26,'食材の単価'!$A$5:$A$204,0)),"食材の単価に無い食材です",IF(NOT(ISNUMBER(C26)),"使用量がありません",IF(NOT(ISNUMBER(E26)),"食材の単価が出ていません（仕入価格・仕入量）","")))))))</f>
        <v/>
      </c>
    </row>
    <row r="27" ht="16" customHeight="1">
      <c r="A27" s="38" t="n"/>
      <c r="B27" s="38" t="n"/>
      <c r="C27" s="39" t="n"/>
      <c r="D27" s="53">
        <f>IF(B27="","",IFERROR(INDEX('食材の単価'!$D$5:$D$204,MATCH(B27,'食材の単価'!$A$5:$A$204,0))&amp;"",""))</f>
        <v/>
      </c>
      <c r="E27" s="80">
        <f>IF(B27="","",IFERROR(INDEX('食材の単価'!$G$5:$G$204,MATCH(B27,'食材の単価'!$A$5:$A$204,0)),""))</f>
        <v/>
      </c>
      <c r="F27" s="78">
        <f>IF(AND(ISNUMBER(C27),ISNUMBER(E27)),C27*E27,"")</f>
        <v/>
      </c>
      <c r="G27" s="33" t="n"/>
      <c r="H27" s="34">
        <f>IF(COUNTA(A27:C27,G27)=0,"",IF(TRIM(A27)="","メニュー名がありません",IF(ISNA(MATCH(A27,'メニュー原価率'!$A$8:$A$107,0)),"メニュー原価率に無いメニューです",IF(TRIM(B27)="","食材名がありません",IF(ISNA(MATCH(B27,'食材の単価'!$A$5:$A$204,0)),"食材の単価に無い食材です",IF(NOT(ISNUMBER(C27)),"使用量がありません",IF(NOT(ISNUMBER(E27)),"食材の単価が出ていません（仕入価格・仕入量）","")))))))</f>
        <v/>
      </c>
    </row>
    <row r="28" ht="16" customHeight="1">
      <c r="A28" s="38" t="n"/>
      <c r="B28" s="38" t="n"/>
      <c r="C28" s="39" t="n"/>
      <c r="D28" s="53">
        <f>IF(B28="","",IFERROR(INDEX('食材の単価'!$D$5:$D$204,MATCH(B28,'食材の単価'!$A$5:$A$204,0))&amp;"",""))</f>
        <v/>
      </c>
      <c r="E28" s="80">
        <f>IF(B28="","",IFERROR(INDEX('食材の単価'!$G$5:$G$204,MATCH(B28,'食材の単価'!$A$5:$A$204,0)),""))</f>
        <v/>
      </c>
      <c r="F28" s="78">
        <f>IF(AND(ISNUMBER(C28),ISNUMBER(E28)),C28*E28,"")</f>
        <v/>
      </c>
      <c r="G28" s="33" t="n"/>
      <c r="H28" s="34">
        <f>IF(COUNTA(A28:C28,G28)=0,"",IF(TRIM(A28)="","メニュー名がありません",IF(ISNA(MATCH(A28,'メニュー原価率'!$A$8:$A$107,0)),"メニュー原価率に無いメニューです",IF(TRIM(B28)="","食材名がありません",IF(ISNA(MATCH(B28,'食材の単価'!$A$5:$A$204,0)),"食材の単価に無い食材です",IF(NOT(ISNUMBER(C28)),"使用量がありません",IF(NOT(ISNUMBER(E28)),"食材の単価が出ていません（仕入価格・仕入量）","")))))))</f>
        <v/>
      </c>
    </row>
    <row r="29" ht="16" customHeight="1">
      <c r="A29" s="38" t="n"/>
      <c r="B29" s="38" t="n"/>
      <c r="C29" s="39" t="n"/>
      <c r="D29" s="53">
        <f>IF(B29="","",IFERROR(INDEX('食材の単価'!$D$5:$D$204,MATCH(B29,'食材の単価'!$A$5:$A$204,0))&amp;"",""))</f>
        <v/>
      </c>
      <c r="E29" s="80">
        <f>IF(B29="","",IFERROR(INDEX('食材の単価'!$G$5:$G$204,MATCH(B29,'食材の単価'!$A$5:$A$204,0)),""))</f>
        <v/>
      </c>
      <c r="F29" s="78">
        <f>IF(AND(ISNUMBER(C29),ISNUMBER(E29)),C29*E29,"")</f>
        <v/>
      </c>
      <c r="G29" s="33" t="n"/>
      <c r="H29" s="34">
        <f>IF(COUNTA(A29:C29,G29)=0,"",IF(TRIM(A29)="","メニュー名がありません",IF(ISNA(MATCH(A29,'メニュー原価率'!$A$8:$A$107,0)),"メニュー原価率に無いメニューです",IF(TRIM(B29)="","食材名がありません",IF(ISNA(MATCH(B29,'食材の単価'!$A$5:$A$204,0)),"食材の単価に無い食材です",IF(NOT(ISNUMBER(C29)),"使用量がありません",IF(NOT(ISNUMBER(E29)),"食材の単価が出ていません（仕入価格・仕入量）","")))))))</f>
        <v/>
      </c>
    </row>
    <row r="30" ht="16" customHeight="1">
      <c r="A30" s="38" t="n"/>
      <c r="B30" s="38" t="n"/>
      <c r="C30" s="39" t="n"/>
      <c r="D30" s="53">
        <f>IF(B30="","",IFERROR(INDEX('食材の単価'!$D$5:$D$204,MATCH(B30,'食材の単価'!$A$5:$A$204,0))&amp;"",""))</f>
        <v/>
      </c>
      <c r="E30" s="80">
        <f>IF(B30="","",IFERROR(INDEX('食材の単価'!$G$5:$G$204,MATCH(B30,'食材の単価'!$A$5:$A$204,0)),""))</f>
        <v/>
      </c>
      <c r="F30" s="78">
        <f>IF(AND(ISNUMBER(C30),ISNUMBER(E30)),C30*E30,"")</f>
        <v/>
      </c>
      <c r="G30" s="33" t="n"/>
      <c r="H30" s="34">
        <f>IF(COUNTA(A30:C30,G30)=0,"",IF(TRIM(A30)="","メニュー名がありません",IF(ISNA(MATCH(A30,'メニュー原価率'!$A$8:$A$107,0)),"メニュー原価率に無いメニューです",IF(TRIM(B30)="","食材名がありません",IF(ISNA(MATCH(B30,'食材の単価'!$A$5:$A$204,0)),"食材の単価に無い食材です",IF(NOT(ISNUMBER(C30)),"使用量がありません",IF(NOT(ISNUMBER(E30)),"食材の単価が出ていません（仕入価格・仕入量）","")))))))</f>
        <v/>
      </c>
    </row>
    <row r="31" ht="16" customHeight="1">
      <c r="A31" s="38" t="n"/>
      <c r="B31" s="38" t="n"/>
      <c r="C31" s="39" t="n"/>
      <c r="D31" s="53">
        <f>IF(B31="","",IFERROR(INDEX('食材の単価'!$D$5:$D$204,MATCH(B31,'食材の単価'!$A$5:$A$204,0))&amp;"",""))</f>
        <v/>
      </c>
      <c r="E31" s="80">
        <f>IF(B31="","",IFERROR(INDEX('食材の単価'!$G$5:$G$204,MATCH(B31,'食材の単価'!$A$5:$A$204,0)),""))</f>
        <v/>
      </c>
      <c r="F31" s="78">
        <f>IF(AND(ISNUMBER(C31),ISNUMBER(E31)),C31*E31,"")</f>
        <v/>
      </c>
      <c r="G31" s="33" t="n"/>
      <c r="H31" s="34">
        <f>IF(COUNTA(A31:C31,G31)=0,"",IF(TRIM(A31)="","メニュー名がありません",IF(ISNA(MATCH(A31,'メニュー原価率'!$A$8:$A$107,0)),"メニュー原価率に無いメニューです",IF(TRIM(B31)="","食材名がありません",IF(ISNA(MATCH(B31,'食材の単価'!$A$5:$A$204,0)),"食材の単価に無い食材です",IF(NOT(ISNUMBER(C31)),"使用量がありません",IF(NOT(ISNUMBER(E31)),"食材の単価が出ていません（仕入価格・仕入量）","")))))))</f>
        <v/>
      </c>
    </row>
    <row r="32" ht="16" customHeight="1">
      <c r="A32" s="38" t="n"/>
      <c r="B32" s="38" t="n"/>
      <c r="C32" s="39" t="n"/>
      <c r="D32" s="53">
        <f>IF(B32="","",IFERROR(INDEX('食材の単価'!$D$5:$D$204,MATCH(B32,'食材の単価'!$A$5:$A$204,0))&amp;"",""))</f>
        <v/>
      </c>
      <c r="E32" s="80">
        <f>IF(B32="","",IFERROR(INDEX('食材の単価'!$G$5:$G$204,MATCH(B32,'食材の単価'!$A$5:$A$204,0)),""))</f>
        <v/>
      </c>
      <c r="F32" s="78">
        <f>IF(AND(ISNUMBER(C32),ISNUMBER(E32)),C32*E32,"")</f>
        <v/>
      </c>
      <c r="G32" s="33" t="n"/>
      <c r="H32" s="34">
        <f>IF(COUNTA(A32:C32,G32)=0,"",IF(TRIM(A32)="","メニュー名がありません",IF(ISNA(MATCH(A32,'メニュー原価率'!$A$8:$A$107,0)),"メニュー原価率に無いメニューです",IF(TRIM(B32)="","食材名がありません",IF(ISNA(MATCH(B32,'食材の単価'!$A$5:$A$204,0)),"食材の単価に無い食材です",IF(NOT(ISNUMBER(C32)),"使用量がありません",IF(NOT(ISNUMBER(E32)),"食材の単価が出ていません（仕入価格・仕入量）","")))))))</f>
        <v/>
      </c>
    </row>
    <row r="33" ht="16" customHeight="1">
      <c r="A33" s="38" t="n"/>
      <c r="B33" s="38" t="n"/>
      <c r="C33" s="39" t="n"/>
      <c r="D33" s="53">
        <f>IF(B33="","",IFERROR(INDEX('食材の単価'!$D$5:$D$204,MATCH(B33,'食材の単価'!$A$5:$A$204,0))&amp;"",""))</f>
        <v/>
      </c>
      <c r="E33" s="80">
        <f>IF(B33="","",IFERROR(INDEX('食材の単価'!$G$5:$G$204,MATCH(B33,'食材の単価'!$A$5:$A$204,0)),""))</f>
        <v/>
      </c>
      <c r="F33" s="78">
        <f>IF(AND(ISNUMBER(C33),ISNUMBER(E33)),C33*E33,"")</f>
        <v/>
      </c>
      <c r="G33" s="33" t="n"/>
      <c r="H33" s="34">
        <f>IF(COUNTA(A33:C33,G33)=0,"",IF(TRIM(A33)="","メニュー名がありません",IF(ISNA(MATCH(A33,'メニュー原価率'!$A$8:$A$107,0)),"メニュー原価率に無いメニューです",IF(TRIM(B33)="","食材名がありません",IF(ISNA(MATCH(B33,'食材の単価'!$A$5:$A$204,0)),"食材の単価に無い食材です",IF(NOT(ISNUMBER(C33)),"使用量がありません",IF(NOT(ISNUMBER(E33)),"食材の単価が出ていません（仕入価格・仕入量）","")))))))</f>
        <v/>
      </c>
    </row>
    <row r="34" ht="16" customHeight="1">
      <c r="A34" s="38" t="n"/>
      <c r="B34" s="38" t="n"/>
      <c r="C34" s="39" t="n"/>
      <c r="D34" s="53">
        <f>IF(B34="","",IFERROR(INDEX('食材の単価'!$D$5:$D$204,MATCH(B34,'食材の単価'!$A$5:$A$204,0))&amp;"",""))</f>
        <v/>
      </c>
      <c r="E34" s="80">
        <f>IF(B34="","",IFERROR(INDEX('食材の単価'!$G$5:$G$204,MATCH(B34,'食材の単価'!$A$5:$A$204,0)),""))</f>
        <v/>
      </c>
      <c r="F34" s="78">
        <f>IF(AND(ISNUMBER(C34),ISNUMBER(E34)),C34*E34,"")</f>
        <v/>
      </c>
      <c r="G34" s="33" t="n"/>
      <c r="H34" s="34">
        <f>IF(COUNTA(A34:C34,G34)=0,"",IF(TRIM(A34)="","メニュー名がありません",IF(ISNA(MATCH(A34,'メニュー原価率'!$A$8:$A$107,0)),"メニュー原価率に無いメニューです",IF(TRIM(B34)="","食材名がありません",IF(ISNA(MATCH(B34,'食材の単価'!$A$5:$A$204,0)),"食材の単価に無い食材です",IF(NOT(ISNUMBER(C34)),"使用量がありません",IF(NOT(ISNUMBER(E34)),"食材の単価が出ていません（仕入価格・仕入量）","")))))))</f>
        <v/>
      </c>
    </row>
    <row r="35" ht="16" customHeight="1">
      <c r="A35" s="38" t="n"/>
      <c r="B35" s="38" t="n"/>
      <c r="C35" s="39" t="n"/>
      <c r="D35" s="53">
        <f>IF(B35="","",IFERROR(INDEX('食材の単価'!$D$5:$D$204,MATCH(B35,'食材の単価'!$A$5:$A$204,0))&amp;"",""))</f>
        <v/>
      </c>
      <c r="E35" s="80">
        <f>IF(B35="","",IFERROR(INDEX('食材の単価'!$G$5:$G$204,MATCH(B35,'食材の単価'!$A$5:$A$204,0)),""))</f>
        <v/>
      </c>
      <c r="F35" s="78">
        <f>IF(AND(ISNUMBER(C35),ISNUMBER(E35)),C35*E35,"")</f>
        <v/>
      </c>
      <c r="G35" s="33" t="n"/>
      <c r="H35" s="34">
        <f>IF(COUNTA(A35:C35,G35)=0,"",IF(TRIM(A35)="","メニュー名がありません",IF(ISNA(MATCH(A35,'メニュー原価率'!$A$8:$A$107,0)),"メニュー原価率に無いメニューです",IF(TRIM(B35)="","食材名がありません",IF(ISNA(MATCH(B35,'食材の単価'!$A$5:$A$204,0)),"食材の単価に無い食材です",IF(NOT(ISNUMBER(C35)),"使用量がありません",IF(NOT(ISNUMBER(E35)),"食材の単価が出ていません（仕入価格・仕入量）","")))))))</f>
        <v/>
      </c>
    </row>
    <row r="36" ht="16" customHeight="1">
      <c r="A36" s="38" t="n"/>
      <c r="B36" s="38" t="n"/>
      <c r="C36" s="39" t="n"/>
      <c r="D36" s="53">
        <f>IF(B36="","",IFERROR(INDEX('食材の単価'!$D$5:$D$204,MATCH(B36,'食材の単価'!$A$5:$A$204,0))&amp;"",""))</f>
        <v/>
      </c>
      <c r="E36" s="80">
        <f>IF(B36="","",IFERROR(INDEX('食材の単価'!$G$5:$G$204,MATCH(B36,'食材の単価'!$A$5:$A$204,0)),""))</f>
        <v/>
      </c>
      <c r="F36" s="78">
        <f>IF(AND(ISNUMBER(C36),ISNUMBER(E36)),C36*E36,"")</f>
        <v/>
      </c>
      <c r="G36" s="33" t="n"/>
      <c r="H36" s="34">
        <f>IF(COUNTA(A36:C36,G36)=0,"",IF(TRIM(A36)="","メニュー名がありません",IF(ISNA(MATCH(A36,'メニュー原価率'!$A$8:$A$107,0)),"メニュー原価率に無いメニューです",IF(TRIM(B36)="","食材名がありません",IF(ISNA(MATCH(B36,'食材の単価'!$A$5:$A$204,0)),"食材の単価に無い食材です",IF(NOT(ISNUMBER(C36)),"使用量がありません",IF(NOT(ISNUMBER(E36)),"食材の単価が出ていません（仕入価格・仕入量）","")))))))</f>
        <v/>
      </c>
    </row>
    <row r="37" ht="16" customHeight="1">
      <c r="A37" s="38" t="n"/>
      <c r="B37" s="38" t="n"/>
      <c r="C37" s="39" t="n"/>
      <c r="D37" s="53">
        <f>IF(B37="","",IFERROR(INDEX('食材の単価'!$D$5:$D$204,MATCH(B37,'食材の単価'!$A$5:$A$204,0))&amp;"",""))</f>
        <v/>
      </c>
      <c r="E37" s="80">
        <f>IF(B37="","",IFERROR(INDEX('食材の単価'!$G$5:$G$204,MATCH(B37,'食材の単価'!$A$5:$A$204,0)),""))</f>
        <v/>
      </c>
      <c r="F37" s="78">
        <f>IF(AND(ISNUMBER(C37),ISNUMBER(E37)),C37*E37,"")</f>
        <v/>
      </c>
      <c r="G37" s="33" t="n"/>
      <c r="H37" s="34">
        <f>IF(COUNTA(A37:C37,G37)=0,"",IF(TRIM(A37)="","メニュー名がありません",IF(ISNA(MATCH(A37,'メニュー原価率'!$A$8:$A$107,0)),"メニュー原価率に無いメニューです",IF(TRIM(B37)="","食材名がありません",IF(ISNA(MATCH(B37,'食材の単価'!$A$5:$A$204,0)),"食材の単価に無い食材です",IF(NOT(ISNUMBER(C37)),"使用量がありません",IF(NOT(ISNUMBER(E37)),"食材の単価が出ていません（仕入価格・仕入量）","")))))))</f>
        <v/>
      </c>
    </row>
    <row r="38" ht="16" customHeight="1">
      <c r="A38" s="38" t="n"/>
      <c r="B38" s="38" t="n"/>
      <c r="C38" s="39" t="n"/>
      <c r="D38" s="53">
        <f>IF(B38="","",IFERROR(INDEX('食材の単価'!$D$5:$D$204,MATCH(B38,'食材の単価'!$A$5:$A$204,0))&amp;"",""))</f>
        <v/>
      </c>
      <c r="E38" s="80">
        <f>IF(B38="","",IFERROR(INDEX('食材の単価'!$G$5:$G$204,MATCH(B38,'食材の単価'!$A$5:$A$204,0)),""))</f>
        <v/>
      </c>
      <c r="F38" s="78">
        <f>IF(AND(ISNUMBER(C38),ISNUMBER(E38)),C38*E38,"")</f>
        <v/>
      </c>
      <c r="G38" s="33" t="n"/>
      <c r="H38" s="34">
        <f>IF(COUNTA(A38:C38,G38)=0,"",IF(TRIM(A38)="","メニュー名がありません",IF(ISNA(MATCH(A38,'メニュー原価率'!$A$8:$A$107,0)),"メニュー原価率に無いメニューです",IF(TRIM(B38)="","食材名がありません",IF(ISNA(MATCH(B38,'食材の単価'!$A$5:$A$204,0)),"食材の単価に無い食材です",IF(NOT(ISNUMBER(C38)),"使用量がありません",IF(NOT(ISNUMBER(E38)),"食材の単価が出ていません（仕入価格・仕入量）","")))))))</f>
        <v/>
      </c>
    </row>
    <row r="39" ht="16" customHeight="1">
      <c r="A39" s="38" t="n"/>
      <c r="B39" s="38" t="n"/>
      <c r="C39" s="39" t="n"/>
      <c r="D39" s="53">
        <f>IF(B39="","",IFERROR(INDEX('食材の単価'!$D$5:$D$204,MATCH(B39,'食材の単価'!$A$5:$A$204,0))&amp;"",""))</f>
        <v/>
      </c>
      <c r="E39" s="80">
        <f>IF(B39="","",IFERROR(INDEX('食材の単価'!$G$5:$G$204,MATCH(B39,'食材の単価'!$A$5:$A$204,0)),""))</f>
        <v/>
      </c>
      <c r="F39" s="78">
        <f>IF(AND(ISNUMBER(C39),ISNUMBER(E39)),C39*E39,"")</f>
        <v/>
      </c>
      <c r="G39" s="33" t="n"/>
      <c r="H39" s="34">
        <f>IF(COUNTA(A39:C39,G39)=0,"",IF(TRIM(A39)="","メニュー名がありません",IF(ISNA(MATCH(A39,'メニュー原価率'!$A$8:$A$107,0)),"メニュー原価率に無いメニューです",IF(TRIM(B39)="","食材名がありません",IF(ISNA(MATCH(B39,'食材の単価'!$A$5:$A$204,0)),"食材の単価に無い食材です",IF(NOT(ISNUMBER(C39)),"使用量がありません",IF(NOT(ISNUMBER(E39)),"食材の単価が出ていません（仕入価格・仕入量）","")))))))</f>
        <v/>
      </c>
    </row>
    <row r="40" ht="16" customHeight="1">
      <c r="A40" s="38" t="n"/>
      <c r="B40" s="38" t="n"/>
      <c r="C40" s="39" t="n"/>
      <c r="D40" s="53">
        <f>IF(B40="","",IFERROR(INDEX('食材の単価'!$D$5:$D$204,MATCH(B40,'食材の単価'!$A$5:$A$204,0))&amp;"",""))</f>
        <v/>
      </c>
      <c r="E40" s="80">
        <f>IF(B40="","",IFERROR(INDEX('食材の単価'!$G$5:$G$204,MATCH(B40,'食材の単価'!$A$5:$A$204,0)),""))</f>
        <v/>
      </c>
      <c r="F40" s="78">
        <f>IF(AND(ISNUMBER(C40),ISNUMBER(E40)),C40*E40,"")</f>
        <v/>
      </c>
      <c r="G40" s="33" t="n"/>
      <c r="H40" s="34">
        <f>IF(COUNTA(A40:C40,G40)=0,"",IF(TRIM(A40)="","メニュー名がありません",IF(ISNA(MATCH(A40,'メニュー原価率'!$A$8:$A$107,0)),"メニュー原価率に無いメニューです",IF(TRIM(B40)="","食材名がありません",IF(ISNA(MATCH(B40,'食材の単価'!$A$5:$A$204,0)),"食材の単価に無い食材です",IF(NOT(ISNUMBER(C40)),"使用量がありません",IF(NOT(ISNUMBER(E40)),"食材の単価が出ていません（仕入価格・仕入量）","")))))))</f>
        <v/>
      </c>
    </row>
    <row r="41" ht="16" customHeight="1">
      <c r="A41" s="38" t="n"/>
      <c r="B41" s="38" t="n"/>
      <c r="C41" s="39" t="n"/>
      <c r="D41" s="53">
        <f>IF(B41="","",IFERROR(INDEX('食材の単価'!$D$5:$D$204,MATCH(B41,'食材の単価'!$A$5:$A$204,0))&amp;"",""))</f>
        <v/>
      </c>
      <c r="E41" s="80">
        <f>IF(B41="","",IFERROR(INDEX('食材の単価'!$G$5:$G$204,MATCH(B41,'食材の単価'!$A$5:$A$204,0)),""))</f>
        <v/>
      </c>
      <c r="F41" s="78">
        <f>IF(AND(ISNUMBER(C41),ISNUMBER(E41)),C41*E41,"")</f>
        <v/>
      </c>
      <c r="G41" s="33" t="n"/>
      <c r="H41" s="34">
        <f>IF(COUNTA(A41:C41,G41)=0,"",IF(TRIM(A41)="","メニュー名がありません",IF(ISNA(MATCH(A41,'メニュー原価率'!$A$8:$A$107,0)),"メニュー原価率に無いメニューです",IF(TRIM(B41)="","食材名がありません",IF(ISNA(MATCH(B41,'食材の単価'!$A$5:$A$204,0)),"食材の単価に無い食材です",IF(NOT(ISNUMBER(C41)),"使用量がありません",IF(NOT(ISNUMBER(E41)),"食材の単価が出ていません（仕入価格・仕入量）","")))))))</f>
        <v/>
      </c>
    </row>
    <row r="42" ht="16" customHeight="1">
      <c r="A42" s="38" t="n"/>
      <c r="B42" s="38" t="n"/>
      <c r="C42" s="39" t="n"/>
      <c r="D42" s="53">
        <f>IF(B42="","",IFERROR(INDEX('食材の単価'!$D$5:$D$204,MATCH(B42,'食材の単価'!$A$5:$A$204,0))&amp;"",""))</f>
        <v/>
      </c>
      <c r="E42" s="80">
        <f>IF(B42="","",IFERROR(INDEX('食材の単価'!$G$5:$G$204,MATCH(B42,'食材の単価'!$A$5:$A$204,0)),""))</f>
        <v/>
      </c>
      <c r="F42" s="78">
        <f>IF(AND(ISNUMBER(C42),ISNUMBER(E42)),C42*E42,"")</f>
        <v/>
      </c>
      <c r="G42" s="33" t="n"/>
      <c r="H42" s="34">
        <f>IF(COUNTA(A42:C42,G42)=0,"",IF(TRIM(A42)="","メニュー名がありません",IF(ISNA(MATCH(A42,'メニュー原価率'!$A$8:$A$107,0)),"メニュー原価率に無いメニューです",IF(TRIM(B42)="","食材名がありません",IF(ISNA(MATCH(B42,'食材の単価'!$A$5:$A$204,0)),"食材の単価に無い食材です",IF(NOT(ISNUMBER(C42)),"使用量がありません",IF(NOT(ISNUMBER(E42)),"食材の単価が出ていません（仕入価格・仕入量）","")))))))</f>
        <v/>
      </c>
    </row>
    <row r="43" ht="16" customHeight="1">
      <c r="A43" s="38" t="n"/>
      <c r="B43" s="38" t="n"/>
      <c r="C43" s="39" t="n"/>
      <c r="D43" s="53">
        <f>IF(B43="","",IFERROR(INDEX('食材の単価'!$D$5:$D$204,MATCH(B43,'食材の単価'!$A$5:$A$204,0))&amp;"",""))</f>
        <v/>
      </c>
      <c r="E43" s="80">
        <f>IF(B43="","",IFERROR(INDEX('食材の単価'!$G$5:$G$204,MATCH(B43,'食材の単価'!$A$5:$A$204,0)),""))</f>
        <v/>
      </c>
      <c r="F43" s="78">
        <f>IF(AND(ISNUMBER(C43),ISNUMBER(E43)),C43*E43,"")</f>
        <v/>
      </c>
      <c r="G43" s="33" t="n"/>
      <c r="H43" s="34">
        <f>IF(COUNTA(A43:C43,G43)=0,"",IF(TRIM(A43)="","メニュー名がありません",IF(ISNA(MATCH(A43,'メニュー原価率'!$A$8:$A$107,0)),"メニュー原価率に無いメニューです",IF(TRIM(B43)="","食材名がありません",IF(ISNA(MATCH(B43,'食材の単価'!$A$5:$A$204,0)),"食材の単価に無い食材です",IF(NOT(ISNUMBER(C43)),"使用量がありません",IF(NOT(ISNUMBER(E43)),"食材の単価が出ていません（仕入価格・仕入量）","")))))))</f>
        <v/>
      </c>
    </row>
    <row r="44" ht="16" customHeight="1">
      <c r="A44" s="38" t="n"/>
      <c r="B44" s="38" t="n"/>
      <c r="C44" s="39" t="n"/>
      <c r="D44" s="53">
        <f>IF(B44="","",IFERROR(INDEX('食材の単価'!$D$5:$D$204,MATCH(B44,'食材の単価'!$A$5:$A$204,0))&amp;"",""))</f>
        <v/>
      </c>
      <c r="E44" s="80">
        <f>IF(B44="","",IFERROR(INDEX('食材の単価'!$G$5:$G$204,MATCH(B44,'食材の単価'!$A$5:$A$204,0)),""))</f>
        <v/>
      </c>
      <c r="F44" s="78">
        <f>IF(AND(ISNUMBER(C44),ISNUMBER(E44)),C44*E44,"")</f>
        <v/>
      </c>
      <c r="G44" s="33" t="n"/>
      <c r="H44" s="34">
        <f>IF(COUNTA(A44:C44,G44)=0,"",IF(TRIM(A44)="","メニュー名がありません",IF(ISNA(MATCH(A44,'メニュー原価率'!$A$8:$A$107,0)),"メニュー原価率に無いメニューです",IF(TRIM(B44)="","食材名がありません",IF(ISNA(MATCH(B44,'食材の単価'!$A$5:$A$204,0)),"食材の単価に無い食材です",IF(NOT(ISNUMBER(C44)),"使用量がありません",IF(NOT(ISNUMBER(E44)),"食材の単価が出ていません（仕入価格・仕入量）","")))))))</f>
        <v/>
      </c>
    </row>
    <row r="45" ht="16" customHeight="1">
      <c r="A45" s="38" t="n"/>
      <c r="B45" s="38" t="n"/>
      <c r="C45" s="39" t="n"/>
      <c r="D45" s="53">
        <f>IF(B45="","",IFERROR(INDEX('食材の単価'!$D$5:$D$204,MATCH(B45,'食材の単価'!$A$5:$A$204,0))&amp;"",""))</f>
        <v/>
      </c>
      <c r="E45" s="80">
        <f>IF(B45="","",IFERROR(INDEX('食材の単価'!$G$5:$G$204,MATCH(B45,'食材の単価'!$A$5:$A$204,0)),""))</f>
        <v/>
      </c>
      <c r="F45" s="78">
        <f>IF(AND(ISNUMBER(C45),ISNUMBER(E45)),C45*E45,"")</f>
        <v/>
      </c>
      <c r="G45" s="33" t="n"/>
      <c r="H45" s="34">
        <f>IF(COUNTA(A45:C45,G45)=0,"",IF(TRIM(A45)="","メニュー名がありません",IF(ISNA(MATCH(A45,'メニュー原価率'!$A$8:$A$107,0)),"メニュー原価率に無いメニューです",IF(TRIM(B45)="","食材名がありません",IF(ISNA(MATCH(B45,'食材の単価'!$A$5:$A$204,0)),"食材の単価に無い食材です",IF(NOT(ISNUMBER(C45)),"使用量がありません",IF(NOT(ISNUMBER(E45)),"食材の単価が出ていません（仕入価格・仕入量）","")))))))</f>
        <v/>
      </c>
    </row>
    <row r="46" ht="16" customHeight="1">
      <c r="A46" s="38" t="n"/>
      <c r="B46" s="38" t="n"/>
      <c r="C46" s="39" t="n"/>
      <c r="D46" s="53">
        <f>IF(B46="","",IFERROR(INDEX('食材の単価'!$D$5:$D$204,MATCH(B46,'食材の単価'!$A$5:$A$204,0))&amp;"",""))</f>
        <v/>
      </c>
      <c r="E46" s="80">
        <f>IF(B46="","",IFERROR(INDEX('食材の単価'!$G$5:$G$204,MATCH(B46,'食材の単価'!$A$5:$A$204,0)),""))</f>
        <v/>
      </c>
      <c r="F46" s="78">
        <f>IF(AND(ISNUMBER(C46),ISNUMBER(E46)),C46*E46,"")</f>
        <v/>
      </c>
      <c r="G46" s="33" t="n"/>
      <c r="H46" s="34">
        <f>IF(COUNTA(A46:C46,G46)=0,"",IF(TRIM(A46)="","メニュー名がありません",IF(ISNA(MATCH(A46,'メニュー原価率'!$A$8:$A$107,0)),"メニュー原価率に無いメニューです",IF(TRIM(B46)="","食材名がありません",IF(ISNA(MATCH(B46,'食材の単価'!$A$5:$A$204,0)),"食材の単価に無い食材です",IF(NOT(ISNUMBER(C46)),"使用量がありません",IF(NOT(ISNUMBER(E46)),"食材の単価が出ていません（仕入価格・仕入量）","")))))))</f>
        <v/>
      </c>
    </row>
    <row r="47" ht="16" customHeight="1">
      <c r="A47" s="38" t="n"/>
      <c r="B47" s="38" t="n"/>
      <c r="C47" s="39" t="n"/>
      <c r="D47" s="53">
        <f>IF(B47="","",IFERROR(INDEX('食材の単価'!$D$5:$D$204,MATCH(B47,'食材の単価'!$A$5:$A$204,0))&amp;"",""))</f>
        <v/>
      </c>
      <c r="E47" s="80">
        <f>IF(B47="","",IFERROR(INDEX('食材の単価'!$G$5:$G$204,MATCH(B47,'食材の単価'!$A$5:$A$204,0)),""))</f>
        <v/>
      </c>
      <c r="F47" s="78">
        <f>IF(AND(ISNUMBER(C47),ISNUMBER(E47)),C47*E47,"")</f>
        <v/>
      </c>
      <c r="G47" s="33" t="n"/>
      <c r="H47" s="34">
        <f>IF(COUNTA(A47:C47,G47)=0,"",IF(TRIM(A47)="","メニュー名がありません",IF(ISNA(MATCH(A47,'メニュー原価率'!$A$8:$A$107,0)),"メニュー原価率に無いメニューです",IF(TRIM(B47)="","食材名がありません",IF(ISNA(MATCH(B47,'食材の単価'!$A$5:$A$204,0)),"食材の単価に無い食材です",IF(NOT(ISNUMBER(C47)),"使用量がありません",IF(NOT(ISNUMBER(E47)),"食材の単価が出ていません（仕入価格・仕入量）","")))))))</f>
        <v/>
      </c>
    </row>
    <row r="48" ht="16" customHeight="1">
      <c r="A48" s="38" t="n"/>
      <c r="B48" s="38" t="n"/>
      <c r="C48" s="39" t="n"/>
      <c r="D48" s="53">
        <f>IF(B48="","",IFERROR(INDEX('食材の単価'!$D$5:$D$204,MATCH(B48,'食材の単価'!$A$5:$A$204,0))&amp;"",""))</f>
        <v/>
      </c>
      <c r="E48" s="80">
        <f>IF(B48="","",IFERROR(INDEX('食材の単価'!$G$5:$G$204,MATCH(B48,'食材の単価'!$A$5:$A$204,0)),""))</f>
        <v/>
      </c>
      <c r="F48" s="78">
        <f>IF(AND(ISNUMBER(C48),ISNUMBER(E48)),C48*E48,"")</f>
        <v/>
      </c>
      <c r="G48" s="33" t="n"/>
      <c r="H48" s="34">
        <f>IF(COUNTA(A48:C48,G48)=0,"",IF(TRIM(A48)="","メニュー名がありません",IF(ISNA(MATCH(A48,'メニュー原価率'!$A$8:$A$107,0)),"メニュー原価率に無いメニューです",IF(TRIM(B48)="","食材名がありません",IF(ISNA(MATCH(B48,'食材の単価'!$A$5:$A$204,0)),"食材の単価に無い食材です",IF(NOT(ISNUMBER(C48)),"使用量がありません",IF(NOT(ISNUMBER(E48)),"食材の単価が出ていません（仕入価格・仕入量）","")))))))</f>
        <v/>
      </c>
    </row>
    <row r="49" ht="16" customHeight="1">
      <c r="A49" s="38" t="n"/>
      <c r="B49" s="38" t="n"/>
      <c r="C49" s="39" t="n"/>
      <c r="D49" s="53">
        <f>IF(B49="","",IFERROR(INDEX('食材の単価'!$D$5:$D$204,MATCH(B49,'食材の単価'!$A$5:$A$204,0))&amp;"",""))</f>
        <v/>
      </c>
      <c r="E49" s="80">
        <f>IF(B49="","",IFERROR(INDEX('食材の単価'!$G$5:$G$204,MATCH(B49,'食材の単価'!$A$5:$A$204,0)),""))</f>
        <v/>
      </c>
      <c r="F49" s="78">
        <f>IF(AND(ISNUMBER(C49),ISNUMBER(E49)),C49*E49,"")</f>
        <v/>
      </c>
      <c r="G49" s="33" t="n"/>
      <c r="H49" s="34">
        <f>IF(COUNTA(A49:C49,G49)=0,"",IF(TRIM(A49)="","メニュー名がありません",IF(ISNA(MATCH(A49,'メニュー原価率'!$A$8:$A$107,0)),"メニュー原価率に無いメニューです",IF(TRIM(B49)="","食材名がありません",IF(ISNA(MATCH(B49,'食材の単価'!$A$5:$A$204,0)),"食材の単価に無い食材です",IF(NOT(ISNUMBER(C49)),"使用量がありません",IF(NOT(ISNUMBER(E49)),"食材の単価が出ていません（仕入価格・仕入量）","")))))))</f>
        <v/>
      </c>
    </row>
    <row r="50" ht="16" customHeight="1">
      <c r="A50" s="38" t="n"/>
      <c r="B50" s="38" t="n"/>
      <c r="C50" s="39" t="n"/>
      <c r="D50" s="53">
        <f>IF(B50="","",IFERROR(INDEX('食材の単価'!$D$5:$D$204,MATCH(B50,'食材の単価'!$A$5:$A$204,0))&amp;"",""))</f>
        <v/>
      </c>
      <c r="E50" s="80">
        <f>IF(B50="","",IFERROR(INDEX('食材の単価'!$G$5:$G$204,MATCH(B50,'食材の単価'!$A$5:$A$204,0)),""))</f>
        <v/>
      </c>
      <c r="F50" s="78">
        <f>IF(AND(ISNUMBER(C50),ISNUMBER(E50)),C50*E50,"")</f>
        <v/>
      </c>
      <c r="G50" s="33" t="n"/>
      <c r="H50" s="34">
        <f>IF(COUNTA(A50:C50,G50)=0,"",IF(TRIM(A50)="","メニュー名がありません",IF(ISNA(MATCH(A50,'メニュー原価率'!$A$8:$A$107,0)),"メニュー原価率に無いメニューです",IF(TRIM(B50)="","食材名がありません",IF(ISNA(MATCH(B50,'食材の単価'!$A$5:$A$204,0)),"食材の単価に無い食材です",IF(NOT(ISNUMBER(C50)),"使用量がありません",IF(NOT(ISNUMBER(E50)),"食材の単価が出ていません（仕入価格・仕入量）","")))))))</f>
        <v/>
      </c>
    </row>
    <row r="51" ht="16" customHeight="1">
      <c r="A51" s="38" t="n"/>
      <c r="B51" s="38" t="n"/>
      <c r="C51" s="39" t="n"/>
      <c r="D51" s="53">
        <f>IF(B51="","",IFERROR(INDEX('食材の単価'!$D$5:$D$204,MATCH(B51,'食材の単価'!$A$5:$A$204,0))&amp;"",""))</f>
        <v/>
      </c>
      <c r="E51" s="80">
        <f>IF(B51="","",IFERROR(INDEX('食材の単価'!$G$5:$G$204,MATCH(B51,'食材の単価'!$A$5:$A$204,0)),""))</f>
        <v/>
      </c>
      <c r="F51" s="78">
        <f>IF(AND(ISNUMBER(C51),ISNUMBER(E51)),C51*E51,"")</f>
        <v/>
      </c>
      <c r="G51" s="33" t="n"/>
      <c r="H51" s="34">
        <f>IF(COUNTA(A51:C51,G51)=0,"",IF(TRIM(A51)="","メニュー名がありません",IF(ISNA(MATCH(A51,'メニュー原価率'!$A$8:$A$107,0)),"メニュー原価率に無いメニューです",IF(TRIM(B51)="","食材名がありません",IF(ISNA(MATCH(B51,'食材の単価'!$A$5:$A$204,0)),"食材の単価に無い食材です",IF(NOT(ISNUMBER(C51)),"使用量がありません",IF(NOT(ISNUMBER(E51)),"食材の単価が出ていません（仕入価格・仕入量）","")))))))</f>
        <v/>
      </c>
    </row>
    <row r="52" ht="16" customHeight="1">
      <c r="A52" s="38" t="n"/>
      <c r="B52" s="38" t="n"/>
      <c r="C52" s="39" t="n"/>
      <c r="D52" s="53">
        <f>IF(B52="","",IFERROR(INDEX('食材の単価'!$D$5:$D$204,MATCH(B52,'食材の単価'!$A$5:$A$204,0))&amp;"",""))</f>
        <v/>
      </c>
      <c r="E52" s="80">
        <f>IF(B52="","",IFERROR(INDEX('食材の単価'!$G$5:$G$204,MATCH(B52,'食材の単価'!$A$5:$A$204,0)),""))</f>
        <v/>
      </c>
      <c r="F52" s="78">
        <f>IF(AND(ISNUMBER(C52),ISNUMBER(E52)),C52*E52,"")</f>
        <v/>
      </c>
      <c r="G52" s="33" t="n"/>
      <c r="H52" s="34">
        <f>IF(COUNTA(A52:C52,G52)=0,"",IF(TRIM(A52)="","メニュー名がありません",IF(ISNA(MATCH(A52,'メニュー原価率'!$A$8:$A$107,0)),"メニュー原価率に無いメニューです",IF(TRIM(B52)="","食材名がありません",IF(ISNA(MATCH(B52,'食材の単価'!$A$5:$A$204,0)),"食材の単価に無い食材です",IF(NOT(ISNUMBER(C52)),"使用量がありません",IF(NOT(ISNUMBER(E52)),"食材の単価が出ていません（仕入価格・仕入量）","")))))))</f>
        <v/>
      </c>
    </row>
    <row r="53" ht="16" customHeight="1">
      <c r="A53" s="38" t="n"/>
      <c r="B53" s="38" t="n"/>
      <c r="C53" s="39" t="n"/>
      <c r="D53" s="53">
        <f>IF(B53="","",IFERROR(INDEX('食材の単価'!$D$5:$D$204,MATCH(B53,'食材の単価'!$A$5:$A$204,0))&amp;"",""))</f>
        <v/>
      </c>
      <c r="E53" s="80">
        <f>IF(B53="","",IFERROR(INDEX('食材の単価'!$G$5:$G$204,MATCH(B53,'食材の単価'!$A$5:$A$204,0)),""))</f>
        <v/>
      </c>
      <c r="F53" s="78">
        <f>IF(AND(ISNUMBER(C53),ISNUMBER(E53)),C53*E53,"")</f>
        <v/>
      </c>
      <c r="G53" s="33" t="n"/>
      <c r="H53" s="34">
        <f>IF(COUNTA(A53:C53,G53)=0,"",IF(TRIM(A53)="","メニュー名がありません",IF(ISNA(MATCH(A53,'メニュー原価率'!$A$8:$A$107,0)),"メニュー原価率に無いメニューです",IF(TRIM(B53)="","食材名がありません",IF(ISNA(MATCH(B53,'食材の単価'!$A$5:$A$204,0)),"食材の単価に無い食材です",IF(NOT(ISNUMBER(C53)),"使用量がありません",IF(NOT(ISNUMBER(E53)),"食材の単価が出ていません（仕入価格・仕入量）","")))))))</f>
        <v/>
      </c>
    </row>
    <row r="54" ht="16" customHeight="1">
      <c r="A54" s="38" t="n"/>
      <c r="B54" s="38" t="n"/>
      <c r="C54" s="39" t="n"/>
      <c r="D54" s="53">
        <f>IF(B54="","",IFERROR(INDEX('食材の単価'!$D$5:$D$204,MATCH(B54,'食材の単価'!$A$5:$A$204,0))&amp;"",""))</f>
        <v/>
      </c>
      <c r="E54" s="80">
        <f>IF(B54="","",IFERROR(INDEX('食材の単価'!$G$5:$G$204,MATCH(B54,'食材の単価'!$A$5:$A$204,0)),""))</f>
        <v/>
      </c>
      <c r="F54" s="78">
        <f>IF(AND(ISNUMBER(C54),ISNUMBER(E54)),C54*E54,"")</f>
        <v/>
      </c>
      <c r="G54" s="33" t="n"/>
      <c r="H54" s="34">
        <f>IF(COUNTA(A54:C54,G54)=0,"",IF(TRIM(A54)="","メニュー名がありません",IF(ISNA(MATCH(A54,'メニュー原価率'!$A$8:$A$107,0)),"メニュー原価率に無いメニューです",IF(TRIM(B54)="","食材名がありません",IF(ISNA(MATCH(B54,'食材の単価'!$A$5:$A$204,0)),"食材の単価に無い食材です",IF(NOT(ISNUMBER(C54)),"使用量がありません",IF(NOT(ISNUMBER(E54)),"食材の単価が出ていません（仕入価格・仕入量）","")))))))</f>
        <v/>
      </c>
    </row>
    <row r="55" ht="16" customHeight="1">
      <c r="A55" s="38" t="n"/>
      <c r="B55" s="38" t="n"/>
      <c r="C55" s="39" t="n"/>
      <c r="D55" s="53">
        <f>IF(B55="","",IFERROR(INDEX('食材の単価'!$D$5:$D$204,MATCH(B55,'食材の単価'!$A$5:$A$204,0))&amp;"",""))</f>
        <v/>
      </c>
      <c r="E55" s="80">
        <f>IF(B55="","",IFERROR(INDEX('食材の単価'!$G$5:$G$204,MATCH(B55,'食材の単価'!$A$5:$A$204,0)),""))</f>
        <v/>
      </c>
      <c r="F55" s="78">
        <f>IF(AND(ISNUMBER(C55),ISNUMBER(E55)),C55*E55,"")</f>
        <v/>
      </c>
      <c r="G55" s="33" t="n"/>
      <c r="H55" s="34">
        <f>IF(COUNTA(A55:C55,G55)=0,"",IF(TRIM(A55)="","メニュー名がありません",IF(ISNA(MATCH(A55,'メニュー原価率'!$A$8:$A$107,0)),"メニュー原価率に無いメニューです",IF(TRIM(B55)="","食材名がありません",IF(ISNA(MATCH(B55,'食材の単価'!$A$5:$A$204,0)),"食材の単価に無い食材です",IF(NOT(ISNUMBER(C55)),"使用量がありません",IF(NOT(ISNUMBER(E55)),"食材の単価が出ていません（仕入価格・仕入量）","")))))))</f>
        <v/>
      </c>
    </row>
    <row r="56" ht="16" customHeight="1">
      <c r="A56" s="38" t="n"/>
      <c r="B56" s="38" t="n"/>
      <c r="C56" s="39" t="n"/>
      <c r="D56" s="53">
        <f>IF(B56="","",IFERROR(INDEX('食材の単価'!$D$5:$D$204,MATCH(B56,'食材の単価'!$A$5:$A$204,0))&amp;"",""))</f>
        <v/>
      </c>
      <c r="E56" s="80">
        <f>IF(B56="","",IFERROR(INDEX('食材の単価'!$G$5:$G$204,MATCH(B56,'食材の単価'!$A$5:$A$204,0)),""))</f>
        <v/>
      </c>
      <c r="F56" s="78">
        <f>IF(AND(ISNUMBER(C56),ISNUMBER(E56)),C56*E56,"")</f>
        <v/>
      </c>
      <c r="G56" s="33" t="n"/>
      <c r="H56" s="34">
        <f>IF(COUNTA(A56:C56,G56)=0,"",IF(TRIM(A56)="","メニュー名がありません",IF(ISNA(MATCH(A56,'メニュー原価率'!$A$8:$A$107,0)),"メニュー原価率に無いメニューです",IF(TRIM(B56)="","食材名がありません",IF(ISNA(MATCH(B56,'食材の単価'!$A$5:$A$204,0)),"食材の単価に無い食材です",IF(NOT(ISNUMBER(C56)),"使用量がありません",IF(NOT(ISNUMBER(E56)),"食材の単価が出ていません（仕入価格・仕入量）","")))))))</f>
        <v/>
      </c>
    </row>
    <row r="57" ht="16" customHeight="1">
      <c r="A57" s="38" t="n"/>
      <c r="B57" s="38" t="n"/>
      <c r="C57" s="39" t="n"/>
      <c r="D57" s="53">
        <f>IF(B57="","",IFERROR(INDEX('食材の単価'!$D$5:$D$204,MATCH(B57,'食材の単価'!$A$5:$A$204,0))&amp;"",""))</f>
        <v/>
      </c>
      <c r="E57" s="80">
        <f>IF(B57="","",IFERROR(INDEX('食材の単価'!$G$5:$G$204,MATCH(B57,'食材の単価'!$A$5:$A$204,0)),""))</f>
        <v/>
      </c>
      <c r="F57" s="78">
        <f>IF(AND(ISNUMBER(C57),ISNUMBER(E57)),C57*E57,"")</f>
        <v/>
      </c>
      <c r="G57" s="33" t="n"/>
      <c r="H57" s="34">
        <f>IF(COUNTA(A57:C57,G57)=0,"",IF(TRIM(A57)="","メニュー名がありません",IF(ISNA(MATCH(A57,'メニュー原価率'!$A$8:$A$107,0)),"メニュー原価率に無いメニューです",IF(TRIM(B57)="","食材名がありません",IF(ISNA(MATCH(B57,'食材の単価'!$A$5:$A$204,0)),"食材の単価に無い食材です",IF(NOT(ISNUMBER(C57)),"使用量がありません",IF(NOT(ISNUMBER(E57)),"食材の単価が出ていません（仕入価格・仕入量）","")))))))</f>
        <v/>
      </c>
    </row>
    <row r="58" ht="16" customHeight="1">
      <c r="A58" s="38" t="n"/>
      <c r="B58" s="38" t="n"/>
      <c r="C58" s="39" t="n"/>
      <c r="D58" s="53">
        <f>IF(B58="","",IFERROR(INDEX('食材の単価'!$D$5:$D$204,MATCH(B58,'食材の単価'!$A$5:$A$204,0))&amp;"",""))</f>
        <v/>
      </c>
      <c r="E58" s="80">
        <f>IF(B58="","",IFERROR(INDEX('食材の単価'!$G$5:$G$204,MATCH(B58,'食材の単価'!$A$5:$A$204,0)),""))</f>
        <v/>
      </c>
      <c r="F58" s="78">
        <f>IF(AND(ISNUMBER(C58),ISNUMBER(E58)),C58*E58,"")</f>
        <v/>
      </c>
      <c r="G58" s="33" t="n"/>
      <c r="H58" s="34">
        <f>IF(COUNTA(A58:C58,G58)=0,"",IF(TRIM(A58)="","メニュー名がありません",IF(ISNA(MATCH(A58,'メニュー原価率'!$A$8:$A$107,0)),"メニュー原価率に無いメニューです",IF(TRIM(B58)="","食材名がありません",IF(ISNA(MATCH(B58,'食材の単価'!$A$5:$A$204,0)),"食材の単価に無い食材です",IF(NOT(ISNUMBER(C58)),"使用量がありません",IF(NOT(ISNUMBER(E58)),"食材の単価が出ていません（仕入価格・仕入量）","")))))))</f>
        <v/>
      </c>
    </row>
    <row r="59" ht="16" customHeight="1">
      <c r="A59" s="38" t="n"/>
      <c r="B59" s="38" t="n"/>
      <c r="C59" s="39" t="n"/>
      <c r="D59" s="53">
        <f>IF(B59="","",IFERROR(INDEX('食材の単価'!$D$5:$D$204,MATCH(B59,'食材の単価'!$A$5:$A$204,0))&amp;"",""))</f>
        <v/>
      </c>
      <c r="E59" s="80">
        <f>IF(B59="","",IFERROR(INDEX('食材の単価'!$G$5:$G$204,MATCH(B59,'食材の単価'!$A$5:$A$204,0)),""))</f>
        <v/>
      </c>
      <c r="F59" s="78">
        <f>IF(AND(ISNUMBER(C59),ISNUMBER(E59)),C59*E59,"")</f>
        <v/>
      </c>
      <c r="G59" s="33" t="n"/>
      <c r="H59" s="34">
        <f>IF(COUNTA(A59:C59,G59)=0,"",IF(TRIM(A59)="","メニュー名がありません",IF(ISNA(MATCH(A59,'メニュー原価率'!$A$8:$A$107,0)),"メニュー原価率に無いメニューです",IF(TRIM(B59)="","食材名がありません",IF(ISNA(MATCH(B59,'食材の単価'!$A$5:$A$204,0)),"食材の単価に無い食材です",IF(NOT(ISNUMBER(C59)),"使用量がありません",IF(NOT(ISNUMBER(E59)),"食材の単価が出ていません（仕入価格・仕入量）","")))))))</f>
        <v/>
      </c>
    </row>
    <row r="60" ht="16" customHeight="1">
      <c r="A60" s="38" t="n"/>
      <c r="B60" s="38" t="n"/>
      <c r="C60" s="39" t="n"/>
      <c r="D60" s="53">
        <f>IF(B60="","",IFERROR(INDEX('食材の単価'!$D$5:$D$204,MATCH(B60,'食材の単価'!$A$5:$A$204,0))&amp;"",""))</f>
        <v/>
      </c>
      <c r="E60" s="80">
        <f>IF(B60="","",IFERROR(INDEX('食材の単価'!$G$5:$G$204,MATCH(B60,'食材の単価'!$A$5:$A$204,0)),""))</f>
        <v/>
      </c>
      <c r="F60" s="78">
        <f>IF(AND(ISNUMBER(C60),ISNUMBER(E60)),C60*E60,"")</f>
        <v/>
      </c>
      <c r="G60" s="33" t="n"/>
      <c r="H60" s="34">
        <f>IF(COUNTA(A60:C60,G60)=0,"",IF(TRIM(A60)="","メニュー名がありません",IF(ISNA(MATCH(A60,'メニュー原価率'!$A$8:$A$107,0)),"メニュー原価率に無いメニューです",IF(TRIM(B60)="","食材名がありません",IF(ISNA(MATCH(B60,'食材の単価'!$A$5:$A$204,0)),"食材の単価に無い食材です",IF(NOT(ISNUMBER(C60)),"使用量がありません",IF(NOT(ISNUMBER(E60)),"食材の単価が出ていません（仕入価格・仕入量）","")))))))</f>
        <v/>
      </c>
    </row>
    <row r="61" ht="16" customHeight="1">
      <c r="A61" s="38" t="n"/>
      <c r="B61" s="38" t="n"/>
      <c r="C61" s="39" t="n"/>
      <c r="D61" s="53">
        <f>IF(B61="","",IFERROR(INDEX('食材の単価'!$D$5:$D$204,MATCH(B61,'食材の単価'!$A$5:$A$204,0))&amp;"",""))</f>
        <v/>
      </c>
      <c r="E61" s="80">
        <f>IF(B61="","",IFERROR(INDEX('食材の単価'!$G$5:$G$204,MATCH(B61,'食材の単価'!$A$5:$A$204,0)),""))</f>
        <v/>
      </c>
      <c r="F61" s="78">
        <f>IF(AND(ISNUMBER(C61),ISNUMBER(E61)),C61*E61,"")</f>
        <v/>
      </c>
      <c r="G61" s="33" t="n"/>
      <c r="H61" s="34">
        <f>IF(COUNTA(A61:C61,G61)=0,"",IF(TRIM(A61)="","メニュー名がありません",IF(ISNA(MATCH(A61,'メニュー原価率'!$A$8:$A$107,0)),"メニュー原価率に無いメニューです",IF(TRIM(B61)="","食材名がありません",IF(ISNA(MATCH(B61,'食材の単価'!$A$5:$A$204,0)),"食材の単価に無い食材です",IF(NOT(ISNUMBER(C61)),"使用量がありません",IF(NOT(ISNUMBER(E61)),"食材の単価が出ていません（仕入価格・仕入量）","")))))))</f>
        <v/>
      </c>
    </row>
    <row r="62" ht="16" customHeight="1">
      <c r="A62" s="38" t="n"/>
      <c r="B62" s="38" t="n"/>
      <c r="C62" s="39" t="n"/>
      <c r="D62" s="53">
        <f>IF(B62="","",IFERROR(INDEX('食材の単価'!$D$5:$D$204,MATCH(B62,'食材の単価'!$A$5:$A$204,0))&amp;"",""))</f>
        <v/>
      </c>
      <c r="E62" s="80">
        <f>IF(B62="","",IFERROR(INDEX('食材の単価'!$G$5:$G$204,MATCH(B62,'食材の単価'!$A$5:$A$204,0)),""))</f>
        <v/>
      </c>
      <c r="F62" s="78">
        <f>IF(AND(ISNUMBER(C62),ISNUMBER(E62)),C62*E62,"")</f>
        <v/>
      </c>
      <c r="G62" s="33" t="n"/>
      <c r="H62" s="34">
        <f>IF(COUNTA(A62:C62,G62)=0,"",IF(TRIM(A62)="","メニュー名がありません",IF(ISNA(MATCH(A62,'メニュー原価率'!$A$8:$A$107,0)),"メニュー原価率に無いメニューです",IF(TRIM(B62)="","食材名がありません",IF(ISNA(MATCH(B62,'食材の単価'!$A$5:$A$204,0)),"食材の単価に無い食材です",IF(NOT(ISNUMBER(C62)),"使用量がありません",IF(NOT(ISNUMBER(E62)),"食材の単価が出ていません（仕入価格・仕入量）","")))))))</f>
        <v/>
      </c>
    </row>
    <row r="63" ht="16" customHeight="1">
      <c r="A63" s="38" t="n"/>
      <c r="B63" s="38" t="n"/>
      <c r="C63" s="39" t="n"/>
      <c r="D63" s="53">
        <f>IF(B63="","",IFERROR(INDEX('食材の単価'!$D$5:$D$204,MATCH(B63,'食材の単価'!$A$5:$A$204,0))&amp;"",""))</f>
        <v/>
      </c>
      <c r="E63" s="80">
        <f>IF(B63="","",IFERROR(INDEX('食材の単価'!$G$5:$G$204,MATCH(B63,'食材の単価'!$A$5:$A$204,0)),""))</f>
        <v/>
      </c>
      <c r="F63" s="78">
        <f>IF(AND(ISNUMBER(C63),ISNUMBER(E63)),C63*E63,"")</f>
        <v/>
      </c>
      <c r="G63" s="33" t="n"/>
      <c r="H63" s="34">
        <f>IF(COUNTA(A63:C63,G63)=0,"",IF(TRIM(A63)="","メニュー名がありません",IF(ISNA(MATCH(A63,'メニュー原価率'!$A$8:$A$107,0)),"メニュー原価率に無いメニューです",IF(TRIM(B63)="","食材名がありません",IF(ISNA(MATCH(B63,'食材の単価'!$A$5:$A$204,0)),"食材の単価に無い食材です",IF(NOT(ISNUMBER(C63)),"使用量がありません",IF(NOT(ISNUMBER(E63)),"食材の単価が出ていません（仕入価格・仕入量）","")))))))</f>
        <v/>
      </c>
    </row>
    <row r="64" ht="16" customHeight="1">
      <c r="A64" s="38" t="n"/>
      <c r="B64" s="38" t="n"/>
      <c r="C64" s="39" t="n"/>
      <c r="D64" s="53">
        <f>IF(B64="","",IFERROR(INDEX('食材の単価'!$D$5:$D$204,MATCH(B64,'食材の単価'!$A$5:$A$204,0))&amp;"",""))</f>
        <v/>
      </c>
      <c r="E64" s="80">
        <f>IF(B64="","",IFERROR(INDEX('食材の単価'!$G$5:$G$204,MATCH(B64,'食材の単価'!$A$5:$A$204,0)),""))</f>
        <v/>
      </c>
      <c r="F64" s="78">
        <f>IF(AND(ISNUMBER(C64),ISNUMBER(E64)),C64*E64,"")</f>
        <v/>
      </c>
      <c r="G64" s="33" t="n"/>
      <c r="H64" s="34">
        <f>IF(COUNTA(A64:C64,G64)=0,"",IF(TRIM(A64)="","メニュー名がありません",IF(ISNA(MATCH(A64,'メニュー原価率'!$A$8:$A$107,0)),"メニュー原価率に無いメニューです",IF(TRIM(B64)="","食材名がありません",IF(ISNA(MATCH(B64,'食材の単価'!$A$5:$A$204,0)),"食材の単価に無い食材です",IF(NOT(ISNUMBER(C64)),"使用量がありません",IF(NOT(ISNUMBER(E64)),"食材の単価が出ていません（仕入価格・仕入量）","")))))))</f>
        <v/>
      </c>
    </row>
    <row r="65" ht="16" customHeight="1">
      <c r="A65" s="38" t="n"/>
      <c r="B65" s="38" t="n"/>
      <c r="C65" s="39" t="n"/>
      <c r="D65" s="53">
        <f>IF(B65="","",IFERROR(INDEX('食材の単価'!$D$5:$D$204,MATCH(B65,'食材の単価'!$A$5:$A$204,0))&amp;"",""))</f>
        <v/>
      </c>
      <c r="E65" s="80">
        <f>IF(B65="","",IFERROR(INDEX('食材の単価'!$G$5:$G$204,MATCH(B65,'食材の単価'!$A$5:$A$204,0)),""))</f>
        <v/>
      </c>
      <c r="F65" s="78">
        <f>IF(AND(ISNUMBER(C65),ISNUMBER(E65)),C65*E65,"")</f>
        <v/>
      </c>
      <c r="G65" s="33" t="n"/>
      <c r="H65" s="34">
        <f>IF(COUNTA(A65:C65,G65)=0,"",IF(TRIM(A65)="","メニュー名がありません",IF(ISNA(MATCH(A65,'メニュー原価率'!$A$8:$A$107,0)),"メニュー原価率に無いメニューです",IF(TRIM(B65)="","食材名がありません",IF(ISNA(MATCH(B65,'食材の単価'!$A$5:$A$204,0)),"食材の単価に無い食材です",IF(NOT(ISNUMBER(C65)),"使用量がありません",IF(NOT(ISNUMBER(E65)),"食材の単価が出ていません（仕入価格・仕入量）","")))))))</f>
        <v/>
      </c>
    </row>
    <row r="66" ht="16" customHeight="1">
      <c r="A66" s="38" t="n"/>
      <c r="B66" s="38" t="n"/>
      <c r="C66" s="39" t="n"/>
      <c r="D66" s="53">
        <f>IF(B66="","",IFERROR(INDEX('食材の単価'!$D$5:$D$204,MATCH(B66,'食材の単価'!$A$5:$A$204,0))&amp;"",""))</f>
        <v/>
      </c>
      <c r="E66" s="80">
        <f>IF(B66="","",IFERROR(INDEX('食材の単価'!$G$5:$G$204,MATCH(B66,'食材の単価'!$A$5:$A$204,0)),""))</f>
        <v/>
      </c>
      <c r="F66" s="78">
        <f>IF(AND(ISNUMBER(C66),ISNUMBER(E66)),C66*E66,"")</f>
        <v/>
      </c>
      <c r="G66" s="33" t="n"/>
      <c r="H66" s="34">
        <f>IF(COUNTA(A66:C66,G66)=0,"",IF(TRIM(A66)="","メニュー名がありません",IF(ISNA(MATCH(A66,'メニュー原価率'!$A$8:$A$107,0)),"メニュー原価率に無いメニューです",IF(TRIM(B66)="","食材名がありません",IF(ISNA(MATCH(B66,'食材の単価'!$A$5:$A$204,0)),"食材の単価に無い食材です",IF(NOT(ISNUMBER(C66)),"使用量がありません",IF(NOT(ISNUMBER(E66)),"食材の単価が出ていません（仕入価格・仕入量）","")))))))</f>
        <v/>
      </c>
    </row>
    <row r="67" ht="16" customHeight="1">
      <c r="A67" s="38" t="n"/>
      <c r="B67" s="38" t="n"/>
      <c r="C67" s="39" t="n"/>
      <c r="D67" s="53">
        <f>IF(B67="","",IFERROR(INDEX('食材の単価'!$D$5:$D$204,MATCH(B67,'食材の単価'!$A$5:$A$204,0))&amp;"",""))</f>
        <v/>
      </c>
      <c r="E67" s="80">
        <f>IF(B67="","",IFERROR(INDEX('食材の単価'!$G$5:$G$204,MATCH(B67,'食材の単価'!$A$5:$A$204,0)),""))</f>
        <v/>
      </c>
      <c r="F67" s="78">
        <f>IF(AND(ISNUMBER(C67),ISNUMBER(E67)),C67*E67,"")</f>
        <v/>
      </c>
      <c r="G67" s="33" t="n"/>
      <c r="H67" s="34">
        <f>IF(COUNTA(A67:C67,G67)=0,"",IF(TRIM(A67)="","メニュー名がありません",IF(ISNA(MATCH(A67,'メニュー原価率'!$A$8:$A$107,0)),"メニュー原価率に無いメニューです",IF(TRIM(B67)="","食材名がありません",IF(ISNA(MATCH(B67,'食材の単価'!$A$5:$A$204,0)),"食材の単価に無い食材です",IF(NOT(ISNUMBER(C67)),"使用量がありません",IF(NOT(ISNUMBER(E67)),"食材の単価が出ていません（仕入価格・仕入量）","")))))))</f>
        <v/>
      </c>
    </row>
    <row r="68" ht="16" customHeight="1">
      <c r="A68" s="38" t="n"/>
      <c r="B68" s="38" t="n"/>
      <c r="C68" s="39" t="n"/>
      <c r="D68" s="53">
        <f>IF(B68="","",IFERROR(INDEX('食材の単価'!$D$5:$D$204,MATCH(B68,'食材の単価'!$A$5:$A$204,0))&amp;"",""))</f>
        <v/>
      </c>
      <c r="E68" s="80">
        <f>IF(B68="","",IFERROR(INDEX('食材の単価'!$G$5:$G$204,MATCH(B68,'食材の単価'!$A$5:$A$204,0)),""))</f>
        <v/>
      </c>
      <c r="F68" s="78">
        <f>IF(AND(ISNUMBER(C68),ISNUMBER(E68)),C68*E68,"")</f>
        <v/>
      </c>
      <c r="G68" s="33" t="n"/>
      <c r="H68" s="34">
        <f>IF(COUNTA(A68:C68,G68)=0,"",IF(TRIM(A68)="","メニュー名がありません",IF(ISNA(MATCH(A68,'メニュー原価率'!$A$8:$A$107,0)),"メニュー原価率に無いメニューです",IF(TRIM(B68)="","食材名がありません",IF(ISNA(MATCH(B68,'食材の単価'!$A$5:$A$204,0)),"食材の単価に無い食材です",IF(NOT(ISNUMBER(C68)),"使用量がありません",IF(NOT(ISNUMBER(E68)),"食材の単価が出ていません（仕入価格・仕入量）","")))))))</f>
        <v/>
      </c>
    </row>
    <row r="69" ht="16" customHeight="1">
      <c r="A69" s="38" t="n"/>
      <c r="B69" s="38" t="n"/>
      <c r="C69" s="39" t="n"/>
      <c r="D69" s="53">
        <f>IF(B69="","",IFERROR(INDEX('食材の単価'!$D$5:$D$204,MATCH(B69,'食材の単価'!$A$5:$A$204,0))&amp;"",""))</f>
        <v/>
      </c>
      <c r="E69" s="80">
        <f>IF(B69="","",IFERROR(INDEX('食材の単価'!$G$5:$G$204,MATCH(B69,'食材の単価'!$A$5:$A$204,0)),""))</f>
        <v/>
      </c>
      <c r="F69" s="78">
        <f>IF(AND(ISNUMBER(C69),ISNUMBER(E69)),C69*E69,"")</f>
        <v/>
      </c>
      <c r="G69" s="33" t="n"/>
      <c r="H69" s="34">
        <f>IF(COUNTA(A69:C69,G69)=0,"",IF(TRIM(A69)="","メニュー名がありません",IF(ISNA(MATCH(A69,'メニュー原価率'!$A$8:$A$107,0)),"メニュー原価率に無いメニューです",IF(TRIM(B69)="","食材名がありません",IF(ISNA(MATCH(B69,'食材の単価'!$A$5:$A$204,0)),"食材の単価に無い食材です",IF(NOT(ISNUMBER(C69)),"使用量がありません",IF(NOT(ISNUMBER(E69)),"食材の単価が出ていません（仕入価格・仕入量）","")))))))</f>
        <v/>
      </c>
    </row>
    <row r="70" ht="16" customHeight="1">
      <c r="A70" s="38" t="n"/>
      <c r="B70" s="38" t="n"/>
      <c r="C70" s="39" t="n"/>
      <c r="D70" s="53">
        <f>IF(B70="","",IFERROR(INDEX('食材の単価'!$D$5:$D$204,MATCH(B70,'食材の単価'!$A$5:$A$204,0))&amp;"",""))</f>
        <v/>
      </c>
      <c r="E70" s="80">
        <f>IF(B70="","",IFERROR(INDEX('食材の単価'!$G$5:$G$204,MATCH(B70,'食材の単価'!$A$5:$A$204,0)),""))</f>
        <v/>
      </c>
      <c r="F70" s="78">
        <f>IF(AND(ISNUMBER(C70),ISNUMBER(E70)),C70*E70,"")</f>
        <v/>
      </c>
      <c r="G70" s="33" t="n"/>
      <c r="H70" s="34">
        <f>IF(COUNTA(A70:C70,G70)=0,"",IF(TRIM(A70)="","メニュー名がありません",IF(ISNA(MATCH(A70,'メニュー原価率'!$A$8:$A$107,0)),"メニュー原価率に無いメニューです",IF(TRIM(B70)="","食材名がありません",IF(ISNA(MATCH(B70,'食材の単価'!$A$5:$A$204,0)),"食材の単価に無い食材です",IF(NOT(ISNUMBER(C70)),"使用量がありません",IF(NOT(ISNUMBER(E70)),"食材の単価が出ていません（仕入価格・仕入量）","")))))))</f>
        <v/>
      </c>
    </row>
    <row r="71" ht="16" customHeight="1">
      <c r="A71" s="38" t="n"/>
      <c r="B71" s="38" t="n"/>
      <c r="C71" s="39" t="n"/>
      <c r="D71" s="53">
        <f>IF(B71="","",IFERROR(INDEX('食材の単価'!$D$5:$D$204,MATCH(B71,'食材の単価'!$A$5:$A$204,0))&amp;"",""))</f>
        <v/>
      </c>
      <c r="E71" s="80">
        <f>IF(B71="","",IFERROR(INDEX('食材の単価'!$G$5:$G$204,MATCH(B71,'食材の単価'!$A$5:$A$204,0)),""))</f>
        <v/>
      </c>
      <c r="F71" s="78">
        <f>IF(AND(ISNUMBER(C71),ISNUMBER(E71)),C71*E71,"")</f>
        <v/>
      </c>
      <c r="G71" s="33" t="n"/>
      <c r="H71" s="34">
        <f>IF(COUNTA(A71:C71,G71)=0,"",IF(TRIM(A71)="","メニュー名がありません",IF(ISNA(MATCH(A71,'メニュー原価率'!$A$8:$A$107,0)),"メニュー原価率に無いメニューです",IF(TRIM(B71)="","食材名がありません",IF(ISNA(MATCH(B71,'食材の単価'!$A$5:$A$204,0)),"食材の単価に無い食材です",IF(NOT(ISNUMBER(C71)),"使用量がありません",IF(NOT(ISNUMBER(E71)),"食材の単価が出ていません（仕入価格・仕入量）","")))))))</f>
        <v/>
      </c>
    </row>
    <row r="72" ht="16" customHeight="1">
      <c r="A72" s="38" t="n"/>
      <c r="B72" s="38" t="n"/>
      <c r="C72" s="39" t="n"/>
      <c r="D72" s="53">
        <f>IF(B72="","",IFERROR(INDEX('食材の単価'!$D$5:$D$204,MATCH(B72,'食材の単価'!$A$5:$A$204,0))&amp;"",""))</f>
        <v/>
      </c>
      <c r="E72" s="80">
        <f>IF(B72="","",IFERROR(INDEX('食材の単価'!$G$5:$G$204,MATCH(B72,'食材の単価'!$A$5:$A$204,0)),""))</f>
        <v/>
      </c>
      <c r="F72" s="78">
        <f>IF(AND(ISNUMBER(C72),ISNUMBER(E72)),C72*E72,"")</f>
        <v/>
      </c>
      <c r="G72" s="33" t="n"/>
      <c r="H72" s="34">
        <f>IF(COUNTA(A72:C72,G72)=0,"",IF(TRIM(A72)="","メニュー名がありません",IF(ISNA(MATCH(A72,'メニュー原価率'!$A$8:$A$107,0)),"メニュー原価率に無いメニューです",IF(TRIM(B72)="","食材名がありません",IF(ISNA(MATCH(B72,'食材の単価'!$A$5:$A$204,0)),"食材の単価に無い食材です",IF(NOT(ISNUMBER(C72)),"使用量がありません",IF(NOT(ISNUMBER(E72)),"食材の単価が出ていません（仕入価格・仕入量）","")))))))</f>
        <v/>
      </c>
    </row>
    <row r="73" ht="16" customHeight="1">
      <c r="A73" s="38" t="n"/>
      <c r="B73" s="38" t="n"/>
      <c r="C73" s="39" t="n"/>
      <c r="D73" s="53">
        <f>IF(B73="","",IFERROR(INDEX('食材の単価'!$D$5:$D$204,MATCH(B73,'食材の単価'!$A$5:$A$204,0))&amp;"",""))</f>
        <v/>
      </c>
      <c r="E73" s="80">
        <f>IF(B73="","",IFERROR(INDEX('食材の単価'!$G$5:$G$204,MATCH(B73,'食材の単価'!$A$5:$A$204,0)),""))</f>
        <v/>
      </c>
      <c r="F73" s="78">
        <f>IF(AND(ISNUMBER(C73),ISNUMBER(E73)),C73*E73,"")</f>
        <v/>
      </c>
      <c r="G73" s="33" t="n"/>
      <c r="H73" s="34">
        <f>IF(COUNTA(A73:C73,G73)=0,"",IF(TRIM(A73)="","メニュー名がありません",IF(ISNA(MATCH(A73,'メニュー原価率'!$A$8:$A$107,0)),"メニュー原価率に無いメニューです",IF(TRIM(B73)="","食材名がありません",IF(ISNA(MATCH(B73,'食材の単価'!$A$5:$A$204,0)),"食材の単価に無い食材です",IF(NOT(ISNUMBER(C73)),"使用量がありません",IF(NOT(ISNUMBER(E73)),"食材の単価が出ていません（仕入価格・仕入量）","")))))))</f>
        <v/>
      </c>
    </row>
    <row r="74" ht="16" customHeight="1">
      <c r="A74" s="38" t="n"/>
      <c r="B74" s="38" t="n"/>
      <c r="C74" s="39" t="n"/>
      <c r="D74" s="53">
        <f>IF(B74="","",IFERROR(INDEX('食材の単価'!$D$5:$D$204,MATCH(B74,'食材の単価'!$A$5:$A$204,0))&amp;"",""))</f>
        <v/>
      </c>
      <c r="E74" s="80">
        <f>IF(B74="","",IFERROR(INDEX('食材の単価'!$G$5:$G$204,MATCH(B74,'食材の単価'!$A$5:$A$204,0)),""))</f>
        <v/>
      </c>
      <c r="F74" s="78">
        <f>IF(AND(ISNUMBER(C74),ISNUMBER(E74)),C74*E74,"")</f>
        <v/>
      </c>
      <c r="G74" s="33" t="n"/>
      <c r="H74" s="34">
        <f>IF(COUNTA(A74:C74,G74)=0,"",IF(TRIM(A74)="","メニュー名がありません",IF(ISNA(MATCH(A74,'メニュー原価率'!$A$8:$A$107,0)),"メニュー原価率に無いメニューです",IF(TRIM(B74)="","食材名がありません",IF(ISNA(MATCH(B74,'食材の単価'!$A$5:$A$204,0)),"食材の単価に無い食材です",IF(NOT(ISNUMBER(C74)),"使用量がありません",IF(NOT(ISNUMBER(E74)),"食材の単価が出ていません（仕入価格・仕入量）","")))))))</f>
        <v/>
      </c>
    </row>
    <row r="75" ht="16" customHeight="1">
      <c r="A75" s="38" t="n"/>
      <c r="B75" s="38" t="n"/>
      <c r="C75" s="39" t="n"/>
      <c r="D75" s="53">
        <f>IF(B75="","",IFERROR(INDEX('食材の単価'!$D$5:$D$204,MATCH(B75,'食材の単価'!$A$5:$A$204,0))&amp;"",""))</f>
        <v/>
      </c>
      <c r="E75" s="80">
        <f>IF(B75="","",IFERROR(INDEX('食材の単価'!$G$5:$G$204,MATCH(B75,'食材の単価'!$A$5:$A$204,0)),""))</f>
        <v/>
      </c>
      <c r="F75" s="78">
        <f>IF(AND(ISNUMBER(C75),ISNUMBER(E75)),C75*E75,"")</f>
        <v/>
      </c>
      <c r="G75" s="33" t="n"/>
      <c r="H75" s="34">
        <f>IF(COUNTA(A75:C75,G75)=0,"",IF(TRIM(A75)="","メニュー名がありません",IF(ISNA(MATCH(A75,'メニュー原価率'!$A$8:$A$107,0)),"メニュー原価率に無いメニューです",IF(TRIM(B75)="","食材名がありません",IF(ISNA(MATCH(B75,'食材の単価'!$A$5:$A$204,0)),"食材の単価に無い食材です",IF(NOT(ISNUMBER(C75)),"使用量がありません",IF(NOT(ISNUMBER(E75)),"食材の単価が出ていません（仕入価格・仕入量）","")))))))</f>
        <v/>
      </c>
    </row>
    <row r="76" ht="16" customHeight="1">
      <c r="A76" s="38" t="n"/>
      <c r="B76" s="38" t="n"/>
      <c r="C76" s="39" t="n"/>
      <c r="D76" s="53">
        <f>IF(B76="","",IFERROR(INDEX('食材の単価'!$D$5:$D$204,MATCH(B76,'食材の単価'!$A$5:$A$204,0))&amp;"",""))</f>
        <v/>
      </c>
      <c r="E76" s="80">
        <f>IF(B76="","",IFERROR(INDEX('食材の単価'!$G$5:$G$204,MATCH(B76,'食材の単価'!$A$5:$A$204,0)),""))</f>
        <v/>
      </c>
      <c r="F76" s="78">
        <f>IF(AND(ISNUMBER(C76),ISNUMBER(E76)),C76*E76,"")</f>
        <v/>
      </c>
      <c r="G76" s="33" t="n"/>
      <c r="H76" s="34">
        <f>IF(COUNTA(A76:C76,G76)=0,"",IF(TRIM(A76)="","メニュー名がありません",IF(ISNA(MATCH(A76,'メニュー原価率'!$A$8:$A$107,0)),"メニュー原価率に無いメニューです",IF(TRIM(B76)="","食材名がありません",IF(ISNA(MATCH(B76,'食材の単価'!$A$5:$A$204,0)),"食材の単価に無い食材です",IF(NOT(ISNUMBER(C76)),"使用量がありません",IF(NOT(ISNUMBER(E76)),"食材の単価が出ていません（仕入価格・仕入量）","")))))))</f>
        <v/>
      </c>
    </row>
    <row r="77" ht="16" customHeight="1">
      <c r="A77" s="38" t="n"/>
      <c r="B77" s="38" t="n"/>
      <c r="C77" s="39" t="n"/>
      <c r="D77" s="53">
        <f>IF(B77="","",IFERROR(INDEX('食材の単価'!$D$5:$D$204,MATCH(B77,'食材の単価'!$A$5:$A$204,0))&amp;"",""))</f>
        <v/>
      </c>
      <c r="E77" s="80">
        <f>IF(B77="","",IFERROR(INDEX('食材の単価'!$G$5:$G$204,MATCH(B77,'食材の単価'!$A$5:$A$204,0)),""))</f>
        <v/>
      </c>
      <c r="F77" s="78">
        <f>IF(AND(ISNUMBER(C77),ISNUMBER(E77)),C77*E77,"")</f>
        <v/>
      </c>
      <c r="G77" s="33" t="n"/>
      <c r="H77" s="34">
        <f>IF(COUNTA(A77:C77,G77)=0,"",IF(TRIM(A77)="","メニュー名がありません",IF(ISNA(MATCH(A77,'メニュー原価率'!$A$8:$A$107,0)),"メニュー原価率に無いメニューです",IF(TRIM(B77)="","食材名がありません",IF(ISNA(MATCH(B77,'食材の単価'!$A$5:$A$204,0)),"食材の単価に無い食材です",IF(NOT(ISNUMBER(C77)),"使用量がありません",IF(NOT(ISNUMBER(E77)),"食材の単価が出ていません（仕入価格・仕入量）","")))))))</f>
        <v/>
      </c>
    </row>
    <row r="78" ht="16" customHeight="1">
      <c r="A78" s="38" t="n"/>
      <c r="B78" s="38" t="n"/>
      <c r="C78" s="39" t="n"/>
      <c r="D78" s="53">
        <f>IF(B78="","",IFERROR(INDEX('食材の単価'!$D$5:$D$204,MATCH(B78,'食材の単価'!$A$5:$A$204,0))&amp;"",""))</f>
        <v/>
      </c>
      <c r="E78" s="80">
        <f>IF(B78="","",IFERROR(INDEX('食材の単価'!$G$5:$G$204,MATCH(B78,'食材の単価'!$A$5:$A$204,0)),""))</f>
        <v/>
      </c>
      <c r="F78" s="78">
        <f>IF(AND(ISNUMBER(C78),ISNUMBER(E78)),C78*E78,"")</f>
        <v/>
      </c>
      <c r="G78" s="33" t="n"/>
      <c r="H78" s="34">
        <f>IF(COUNTA(A78:C78,G78)=0,"",IF(TRIM(A78)="","メニュー名がありません",IF(ISNA(MATCH(A78,'メニュー原価率'!$A$8:$A$107,0)),"メニュー原価率に無いメニューです",IF(TRIM(B78)="","食材名がありません",IF(ISNA(MATCH(B78,'食材の単価'!$A$5:$A$204,0)),"食材の単価に無い食材です",IF(NOT(ISNUMBER(C78)),"使用量がありません",IF(NOT(ISNUMBER(E78)),"食材の単価が出ていません（仕入価格・仕入量）","")))))))</f>
        <v/>
      </c>
    </row>
    <row r="79" ht="16" customHeight="1">
      <c r="A79" s="38" t="n"/>
      <c r="B79" s="38" t="n"/>
      <c r="C79" s="39" t="n"/>
      <c r="D79" s="53">
        <f>IF(B79="","",IFERROR(INDEX('食材の単価'!$D$5:$D$204,MATCH(B79,'食材の単価'!$A$5:$A$204,0))&amp;"",""))</f>
        <v/>
      </c>
      <c r="E79" s="80">
        <f>IF(B79="","",IFERROR(INDEX('食材の単価'!$G$5:$G$204,MATCH(B79,'食材の単価'!$A$5:$A$204,0)),""))</f>
        <v/>
      </c>
      <c r="F79" s="78">
        <f>IF(AND(ISNUMBER(C79),ISNUMBER(E79)),C79*E79,"")</f>
        <v/>
      </c>
      <c r="G79" s="33" t="n"/>
      <c r="H79" s="34">
        <f>IF(COUNTA(A79:C79,G79)=0,"",IF(TRIM(A79)="","メニュー名がありません",IF(ISNA(MATCH(A79,'メニュー原価率'!$A$8:$A$107,0)),"メニュー原価率に無いメニューです",IF(TRIM(B79)="","食材名がありません",IF(ISNA(MATCH(B79,'食材の単価'!$A$5:$A$204,0)),"食材の単価に無い食材です",IF(NOT(ISNUMBER(C79)),"使用量がありません",IF(NOT(ISNUMBER(E79)),"食材の単価が出ていません（仕入価格・仕入量）","")))))))</f>
        <v/>
      </c>
    </row>
    <row r="80" ht="16" customHeight="1">
      <c r="A80" s="38" t="n"/>
      <c r="B80" s="38" t="n"/>
      <c r="C80" s="39" t="n"/>
      <c r="D80" s="53">
        <f>IF(B80="","",IFERROR(INDEX('食材の単価'!$D$5:$D$204,MATCH(B80,'食材の単価'!$A$5:$A$204,0))&amp;"",""))</f>
        <v/>
      </c>
      <c r="E80" s="80">
        <f>IF(B80="","",IFERROR(INDEX('食材の単価'!$G$5:$G$204,MATCH(B80,'食材の単価'!$A$5:$A$204,0)),""))</f>
        <v/>
      </c>
      <c r="F80" s="78">
        <f>IF(AND(ISNUMBER(C80),ISNUMBER(E80)),C80*E80,"")</f>
        <v/>
      </c>
      <c r="G80" s="33" t="n"/>
      <c r="H80" s="34">
        <f>IF(COUNTA(A80:C80,G80)=0,"",IF(TRIM(A80)="","メニュー名がありません",IF(ISNA(MATCH(A80,'メニュー原価率'!$A$8:$A$107,0)),"メニュー原価率に無いメニューです",IF(TRIM(B80)="","食材名がありません",IF(ISNA(MATCH(B80,'食材の単価'!$A$5:$A$204,0)),"食材の単価に無い食材です",IF(NOT(ISNUMBER(C80)),"使用量がありません",IF(NOT(ISNUMBER(E80)),"食材の単価が出ていません（仕入価格・仕入量）","")))))))</f>
        <v/>
      </c>
    </row>
    <row r="81" ht="16" customHeight="1">
      <c r="A81" s="38" t="n"/>
      <c r="B81" s="38" t="n"/>
      <c r="C81" s="39" t="n"/>
      <c r="D81" s="53">
        <f>IF(B81="","",IFERROR(INDEX('食材の単価'!$D$5:$D$204,MATCH(B81,'食材の単価'!$A$5:$A$204,0))&amp;"",""))</f>
        <v/>
      </c>
      <c r="E81" s="80">
        <f>IF(B81="","",IFERROR(INDEX('食材の単価'!$G$5:$G$204,MATCH(B81,'食材の単価'!$A$5:$A$204,0)),""))</f>
        <v/>
      </c>
      <c r="F81" s="78">
        <f>IF(AND(ISNUMBER(C81),ISNUMBER(E81)),C81*E81,"")</f>
        <v/>
      </c>
      <c r="G81" s="33" t="n"/>
      <c r="H81" s="34">
        <f>IF(COUNTA(A81:C81,G81)=0,"",IF(TRIM(A81)="","メニュー名がありません",IF(ISNA(MATCH(A81,'メニュー原価率'!$A$8:$A$107,0)),"メニュー原価率に無いメニューです",IF(TRIM(B81)="","食材名がありません",IF(ISNA(MATCH(B81,'食材の単価'!$A$5:$A$204,0)),"食材の単価に無い食材です",IF(NOT(ISNUMBER(C81)),"使用量がありません",IF(NOT(ISNUMBER(E81)),"食材の単価が出ていません（仕入価格・仕入量）","")))))))</f>
        <v/>
      </c>
    </row>
    <row r="82" ht="16" customHeight="1">
      <c r="A82" s="38" t="n"/>
      <c r="B82" s="38" t="n"/>
      <c r="C82" s="39" t="n"/>
      <c r="D82" s="53">
        <f>IF(B82="","",IFERROR(INDEX('食材の単価'!$D$5:$D$204,MATCH(B82,'食材の単価'!$A$5:$A$204,0))&amp;"",""))</f>
        <v/>
      </c>
      <c r="E82" s="80">
        <f>IF(B82="","",IFERROR(INDEX('食材の単価'!$G$5:$G$204,MATCH(B82,'食材の単価'!$A$5:$A$204,0)),""))</f>
        <v/>
      </c>
      <c r="F82" s="78">
        <f>IF(AND(ISNUMBER(C82),ISNUMBER(E82)),C82*E82,"")</f>
        <v/>
      </c>
      <c r="G82" s="33" t="n"/>
      <c r="H82" s="34">
        <f>IF(COUNTA(A82:C82,G82)=0,"",IF(TRIM(A82)="","メニュー名がありません",IF(ISNA(MATCH(A82,'メニュー原価率'!$A$8:$A$107,0)),"メニュー原価率に無いメニューです",IF(TRIM(B82)="","食材名がありません",IF(ISNA(MATCH(B82,'食材の単価'!$A$5:$A$204,0)),"食材の単価に無い食材です",IF(NOT(ISNUMBER(C82)),"使用量がありません",IF(NOT(ISNUMBER(E82)),"食材の単価が出ていません（仕入価格・仕入量）","")))))))</f>
        <v/>
      </c>
    </row>
    <row r="83" ht="16" customHeight="1">
      <c r="A83" s="38" t="n"/>
      <c r="B83" s="38" t="n"/>
      <c r="C83" s="39" t="n"/>
      <c r="D83" s="53">
        <f>IF(B83="","",IFERROR(INDEX('食材の単価'!$D$5:$D$204,MATCH(B83,'食材の単価'!$A$5:$A$204,0))&amp;"",""))</f>
        <v/>
      </c>
      <c r="E83" s="80">
        <f>IF(B83="","",IFERROR(INDEX('食材の単価'!$G$5:$G$204,MATCH(B83,'食材の単価'!$A$5:$A$204,0)),""))</f>
        <v/>
      </c>
      <c r="F83" s="78">
        <f>IF(AND(ISNUMBER(C83),ISNUMBER(E83)),C83*E83,"")</f>
        <v/>
      </c>
      <c r="G83" s="33" t="n"/>
      <c r="H83" s="34">
        <f>IF(COUNTA(A83:C83,G83)=0,"",IF(TRIM(A83)="","メニュー名がありません",IF(ISNA(MATCH(A83,'メニュー原価率'!$A$8:$A$107,0)),"メニュー原価率に無いメニューです",IF(TRIM(B83)="","食材名がありません",IF(ISNA(MATCH(B83,'食材の単価'!$A$5:$A$204,0)),"食材の単価に無い食材です",IF(NOT(ISNUMBER(C83)),"使用量がありません",IF(NOT(ISNUMBER(E83)),"食材の単価が出ていません（仕入価格・仕入量）","")))))))</f>
        <v/>
      </c>
    </row>
    <row r="84" ht="16" customHeight="1">
      <c r="A84" s="38" t="n"/>
      <c r="B84" s="38" t="n"/>
      <c r="C84" s="39" t="n"/>
      <c r="D84" s="53">
        <f>IF(B84="","",IFERROR(INDEX('食材の単価'!$D$5:$D$204,MATCH(B84,'食材の単価'!$A$5:$A$204,0))&amp;"",""))</f>
        <v/>
      </c>
      <c r="E84" s="80">
        <f>IF(B84="","",IFERROR(INDEX('食材の単価'!$G$5:$G$204,MATCH(B84,'食材の単価'!$A$5:$A$204,0)),""))</f>
        <v/>
      </c>
      <c r="F84" s="78">
        <f>IF(AND(ISNUMBER(C84),ISNUMBER(E84)),C84*E84,"")</f>
        <v/>
      </c>
      <c r="G84" s="33" t="n"/>
      <c r="H84" s="34">
        <f>IF(COUNTA(A84:C84,G84)=0,"",IF(TRIM(A84)="","メニュー名がありません",IF(ISNA(MATCH(A84,'メニュー原価率'!$A$8:$A$107,0)),"メニュー原価率に無いメニューです",IF(TRIM(B84)="","食材名がありません",IF(ISNA(MATCH(B84,'食材の単価'!$A$5:$A$204,0)),"食材の単価に無い食材です",IF(NOT(ISNUMBER(C84)),"使用量がありません",IF(NOT(ISNUMBER(E84)),"食材の単価が出ていません（仕入価格・仕入量）","")))))))</f>
        <v/>
      </c>
    </row>
    <row r="85" ht="16" customHeight="1">
      <c r="A85" s="38" t="n"/>
      <c r="B85" s="38" t="n"/>
      <c r="C85" s="39" t="n"/>
      <c r="D85" s="53">
        <f>IF(B85="","",IFERROR(INDEX('食材の単価'!$D$5:$D$204,MATCH(B85,'食材の単価'!$A$5:$A$204,0))&amp;"",""))</f>
        <v/>
      </c>
      <c r="E85" s="80">
        <f>IF(B85="","",IFERROR(INDEX('食材の単価'!$G$5:$G$204,MATCH(B85,'食材の単価'!$A$5:$A$204,0)),""))</f>
        <v/>
      </c>
      <c r="F85" s="78">
        <f>IF(AND(ISNUMBER(C85),ISNUMBER(E85)),C85*E85,"")</f>
        <v/>
      </c>
      <c r="G85" s="33" t="n"/>
      <c r="H85" s="34">
        <f>IF(COUNTA(A85:C85,G85)=0,"",IF(TRIM(A85)="","メニュー名がありません",IF(ISNA(MATCH(A85,'メニュー原価率'!$A$8:$A$107,0)),"メニュー原価率に無いメニューです",IF(TRIM(B85)="","食材名がありません",IF(ISNA(MATCH(B85,'食材の単価'!$A$5:$A$204,0)),"食材の単価に無い食材です",IF(NOT(ISNUMBER(C85)),"使用量がありません",IF(NOT(ISNUMBER(E85)),"食材の単価が出ていません（仕入価格・仕入量）","")))))))</f>
        <v/>
      </c>
    </row>
    <row r="86" ht="16" customHeight="1">
      <c r="A86" s="38" t="n"/>
      <c r="B86" s="38" t="n"/>
      <c r="C86" s="39" t="n"/>
      <c r="D86" s="53">
        <f>IF(B86="","",IFERROR(INDEX('食材の単価'!$D$5:$D$204,MATCH(B86,'食材の単価'!$A$5:$A$204,0))&amp;"",""))</f>
        <v/>
      </c>
      <c r="E86" s="80">
        <f>IF(B86="","",IFERROR(INDEX('食材の単価'!$G$5:$G$204,MATCH(B86,'食材の単価'!$A$5:$A$204,0)),""))</f>
        <v/>
      </c>
      <c r="F86" s="78">
        <f>IF(AND(ISNUMBER(C86),ISNUMBER(E86)),C86*E86,"")</f>
        <v/>
      </c>
      <c r="G86" s="33" t="n"/>
      <c r="H86" s="34">
        <f>IF(COUNTA(A86:C86,G86)=0,"",IF(TRIM(A86)="","メニュー名がありません",IF(ISNA(MATCH(A86,'メニュー原価率'!$A$8:$A$107,0)),"メニュー原価率に無いメニューです",IF(TRIM(B86)="","食材名がありません",IF(ISNA(MATCH(B86,'食材の単価'!$A$5:$A$204,0)),"食材の単価に無い食材です",IF(NOT(ISNUMBER(C86)),"使用量がありません",IF(NOT(ISNUMBER(E86)),"食材の単価が出ていません（仕入価格・仕入量）","")))))))</f>
        <v/>
      </c>
    </row>
    <row r="87" ht="16" customHeight="1">
      <c r="A87" s="38" t="n"/>
      <c r="B87" s="38" t="n"/>
      <c r="C87" s="39" t="n"/>
      <c r="D87" s="53">
        <f>IF(B87="","",IFERROR(INDEX('食材の単価'!$D$5:$D$204,MATCH(B87,'食材の単価'!$A$5:$A$204,0))&amp;"",""))</f>
        <v/>
      </c>
      <c r="E87" s="80">
        <f>IF(B87="","",IFERROR(INDEX('食材の単価'!$G$5:$G$204,MATCH(B87,'食材の単価'!$A$5:$A$204,0)),""))</f>
        <v/>
      </c>
      <c r="F87" s="78">
        <f>IF(AND(ISNUMBER(C87),ISNUMBER(E87)),C87*E87,"")</f>
        <v/>
      </c>
      <c r="G87" s="33" t="n"/>
      <c r="H87" s="34">
        <f>IF(COUNTA(A87:C87,G87)=0,"",IF(TRIM(A87)="","メニュー名がありません",IF(ISNA(MATCH(A87,'メニュー原価率'!$A$8:$A$107,0)),"メニュー原価率に無いメニューです",IF(TRIM(B87)="","食材名がありません",IF(ISNA(MATCH(B87,'食材の単価'!$A$5:$A$204,0)),"食材の単価に無い食材です",IF(NOT(ISNUMBER(C87)),"使用量がありません",IF(NOT(ISNUMBER(E87)),"食材の単価が出ていません（仕入価格・仕入量）","")))))))</f>
        <v/>
      </c>
    </row>
    <row r="88" ht="16" customHeight="1">
      <c r="A88" s="38" t="n"/>
      <c r="B88" s="38" t="n"/>
      <c r="C88" s="39" t="n"/>
      <c r="D88" s="53">
        <f>IF(B88="","",IFERROR(INDEX('食材の単価'!$D$5:$D$204,MATCH(B88,'食材の単価'!$A$5:$A$204,0))&amp;"",""))</f>
        <v/>
      </c>
      <c r="E88" s="80">
        <f>IF(B88="","",IFERROR(INDEX('食材の単価'!$G$5:$G$204,MATCH(B88,'食材の単価'!$A$5:$A$204,0)),""))</f>
        <v/>
      </c>
      <c r="F88" s="78">
        <f>IF(AND(ISNUMBER(C88),ISNUMBER(E88)),C88*E88,"")</f>
        <v/>
      </c>
      <c r="G88" s="33" t="n"/>
      <c r="H88" s="34">
        <f>IF(COUNTA(A88:C88,G88)=0,"",IF(TRIM(A88)="","メニュー名がありません",IF(ISNA(MATCH(A88,'メニュー原価率'!$A$8:$A$107,0)),"メニュー原価率に無いメニューです",IF(TRIM(B88)="","食材名がありません",IF(ISNA(MATCH(B88,'食材の単価'!$A$5:$A$204,0)),"食材の単価に無い食材です",IF(NOT(ISNUMBER(C88)),"使用量がありません",IF(NOT(ISNUMBER(E88)),"食材の単価が出ていません（仕入価格・仕入量）","")))))))</f>
        <v/>
      </c>
    </row>
    <row r="89" ht="16" customHeight="1">
      <c r="A89" s="38" t="n"/>
      <c r="B89" s="38" t="n"/>
      <c r="C89" s="39" t="n"/>
      <c r="D89" s="53">
        <f>IF(B89="","",IFERROR(INDEX('食材の単価'!$D$5:$D$204,MATCH(B89,'食材の単価'!$A$5:$A$204,0))&amp;"",""))</f>
        <v/>
      </c>
      <c r="E89" s="80">
        <f>IF(B89="","",IFERROR(INDEX('食材の単価'!$G$5:$G$204,MATCH(B89,'食材の単価'!$A$5:$A$204,0)),""))</f>
        <v/>
      </c>
      <c r="F89" s="78">
        <f>IF(AND(ISNUMBER(C89),ISNUMBER(E89)),C89*E89,"")</f>
        <v/>
      </c>
      <c r="G89" s="33" t="n"/>
      <c r="H89" s="34">
        <f>IF(COUNTA(A89:C89,G89)=0,"",IF(TRIM(A89)="","メニュー名がありません",IF(ISNA(MATCH(A89,'メニュー原価率'!$A$8:$A$107,0)),"メニュー原価率に無いメニューです",IF(TRIM(B89)="","食材名がありません",IF(ISNA(MATCH(B89,'食材の単価'!$A$5:$A$204,0)),"食材の単価に無い食材です",IF(NOT(ISNUMBER(C89)),"使用量がありません",IF(NOT(ISNUMBER(E89)),"食材の単価が出ていません（仕入価格・仕入量）","")))))))</f>
        <v/>
      </c>
    </row>
    <row r="90" ht="16" customHeight="1">
      <c r="A90" s="38" t="n"/>
      <c r="B90" s="38" t="n"/>
      <c r="C90" s="39" t="n"/>
      <c r="D90" s="53">
        <f>IF(B90="","",IFERROR(INDEX('食材の単価'!$D$5:$D$204,MATCH(B90,'食材の単価'!$A$5:$A$204,0))&amp;"",""))</f>
        <v/>
      </c>
      <c r="E90" s="80">
        <f>IF(B90="","",IFERROR(INDEX('食材の単価'!$G$5:$G$204,MATCH(B90,'食材の単価'!$A$5:$A$204,0)),""))</f>
        <v/>
      </c>
      <c r="F90" s="78">
        <f>IF(AND(ISNUMBER(C90),ISNUMBER(E90)),C90*E90,"")</f>
        <v/>
      </c>
      <c r="G90" s="33" t="n"/>
      <c r="H90" s="34">
        <f>IF(COUNTA(A90:C90,G90)=0,"",IF(TRIM(A90)="","メニュー名がありません",IF(ISNA(MATCH(A90,'メニュー原価率'!$A$8:$A$107,0)),"メニュー原価率に無いメニューです",IF(TRIM(B90)="","食材名がありません",IF(ISNA(MATCH(B90,'食材の単価'!$A$5:$A$204,0)),"食材の単価に無い食材です",IF(NOT(ISNUMBER(C90)),"使用量がありません",IF(NOT(ISNUMBER(E90)),"食材の単価が出ていません（仕入価格・仕入量）","")))))))</f>
        <v/>
      </c>
    </row>
    <row r="91" ht="16" customHeight="1">
      <c r="A91" s="38" t="n"/>
      <c r="B91" s="38" t="n"/>
      <c r="C91" s="39" t="n"/>
      <c r="D91" s="53">
        <f>IF(B91="","",IFERROR(INDEX('食材の単価'!$D$5:$D$204,MATCH(B91,'食材の単価'!$A$5:$A$204,0))&amp;"",""))</f>
        <v/>
      </c>
      <c r="E91" s="80">
        <f>IF(B91="","",IFERROR(INDEX('食材の単価'!$G$5:$G$204,MATCH(B91,'食材の単価'!$A$5:$A$204,0)),""))</f>
        <v/>
      </c>
      <c r="F91" s="78">
        <f>IF(AND(ISNUMBER(C91),ISNUMBER(E91)),C91*E91,"")</f>
        <v/>
      </c>
      <c r="G91" s="33" t="n"/>
      <c r="H91" s="34">
        <f>IF(COUNTA(A91:C91,G91)=0,"",IF(TRIM(A91)="","メニュー名がありません",IF(ISNA(MATCH(A91,'メニュー原価率'!$A$8:$A$107,0)),"メニュー原価率に無いメニューです",IF(TRIM(B91)="","食材名がありません",IF(ISNA(MATCH(B91,'食材の単価'!$A$5:$A$204,0)),"食材の単価に無い食材です",IF(NOT(ISNUMBER(C91)),"使用量がありません",IF(NOT(ISNUMBER(E91)),"食材の単価が出ていません（仕入価格・仕入量）","")))))))</f>
        <v/>
      </c>
    </row>
    <row r="92" ht="16" customHeight="1">
      <c r="A92" s="38" t="n"/>
      <c r="B92" s="38" t="n"/>
      <c r="C92" s="39" t="n"/>
      <c r="D92" s="53">
        <f>IF(B92="","",IFERROR(INDEX('食材の単価'!$D$5:$D$204,MATCH(B92,'食材の単価'!$A$5:$A$204,0))&amp;"",""))</f>
        <v/>
      </c>
      <c r="E92" s="80">
        <f>IF(B92="","",IFERROR(INDEX('食材の単価'!$G$5:$G$204,MATCH(B92,'食材の単価'!$A$5:$A$204,0)),""))</f>
        <v/>
      </c>
      <c r="F92" s="78">
        <f>IF(AND(ISNUMBER(C92),ISNUMBER(E92)),C92*E92,"")</f>
        <v/>
      </c>
      <c r="G92" s="33" t="n"/>
      <c r="H92" s="34">
        <f>IF(COUNTA(A92:C92,G92)=0,"",IF(TRIM(A92)="","メニュー名がありません",IF(ISNA(MATCH(A92,'メニュー原価率'!$A$8:$A$107,0)),"メニュー原価率に無いメニューです",IF(TRIM(B92)="","食材名がありません",IF(ISNA(MATCH(B92,'食材の単価'!$A$5:$A$204,0)),"食材の単価に無い食材です",IF(NOT(ISNUMBER(C92)),"使用量がありません",IF(NOT(ISNUMBER(E92)),"食材の単価が出ていません（仕入価格・仕入量）","")))))))</f>
        <v/>
      </c>
    </row>
    <row r="93" ht="16" customHeight="1">
      <c r="A93" s="38" t="n"/>
      <c r="B93" s="38" t="n"/>
      <c r="C93" s="39" t="n"/>
      <c r="D93" s="53">
        <f>IF(B93="","",IFERROR(INDEX('食材の単価'!$D$5:$D$204,MATCH(B93,'食材の単価'!$A$5:$A$204,0))&amp;"",""))</f>
        <v/>
      </c>
      <c r="E93" s="80">
        <f>IF(B93="","",IFERROR(INDEX('食材の単価'!$G$5:$G$204,MATCH(B93,'食材の単価'!$A$5:$A$204,0)),""))</f>
        <v/>
      </c>
      <c r="F93" s="78">
        <f>IF(AND(ISNUMBER(C93),ISNUMBER(E93)),C93*E93,"")</f>
        <v/>
      </c>
      <c r="G93" s="33" t="n"/>
      <c r="H93" s="34">
        <f>IF(COUNTA(A93:C93,G93)=0,"",IF(TRIM(A93)="","メニュー名がありません",IF(ISNA(MATCH(A93,'メニュー原価率'!$A$8:$A$107,0)),"メニュー原価率に無いメニューです",IF(TRIM(B93)="","食材名がありません",IF(ISNA(MATCH(B93,'食材の単価'!$A$5:$A$204,0)),"食材の単価に無い食材です",IF(NOT(ISNUMBER(C93)),"使用量がありません",IF(NOT(ISNUMBER(E93)),"食材の単価が出ていません（仕入価格・仕入量）","")))))))</f>
        <v/>
      </c>
    </row>
    <row r="94" ht="16" customHeight="1">
      <c r="A94" s="38" t="n"/>
      <c r="B94" s="38" t="n"/>
      <c r="C94" s="39" t="n"/>
      <c r="D94" s="53">
        <f>IF(B94="","",IFERROR(INDEX('食材の単価'!$D$5:$D$204,MATCH(B94,'食材の単価'!$A$5:$A$204,0))&amp;"",""))</f>
        <v/>
      </c>
      <c r="E94" s="80">
        <f>IF(B94="","",IFERROR(INDEX('食材の単価'!$G$5:$G$204,MATCH(B94,'食材の単価'!$A$5:$A$204,0)),""))</f>
        <v/>
      </c>
      <c r="F94" s="78">
        <f>IF(AND(ISNUMBER(C94),ISNUMBER(E94)),C94*E94,"")</f>
        <v/>
      </c>
      <c r="G94" s="33" t="n"/>
      <c r="H94" s="34">
        <f>IF(COUNTA(A94:C94,G94)=0,"",IF(TRIM(A94)="","メニュー名がありません",IF(ISNA(MATCH(A94,'メニュー原価率'!$A$8:$A$107,0)),"メニュー原価率に無いメニューです",IF(TRIM(B94)="","食材名がありません",IF(ISNA(MATCH(B94,'食材の単価'!$A$5:$A$204,0)),"食材の単価に無い食材です",IF(NOT(ISNUMBER(C94)),"使用量がありません",IF(NOT(ISNUMBER(E94)),"食材の単価が出ていません（仕入価格・仕入量）","")))))))</f>
        <v/>
      </c>
    </row>
    <row r="95" ht="16" customHeight="1">
      <c r="A95" s="38" t="n"/>
      <c r="B95" s="38" t="n"/>
      <c r="C95" s="39" t="n"/>
      <c r="D95" s="53">
        <f>IF(B95="","",IFERROR(INDEX('食材の単価'!$D$5:$D$204,MATCH(B95,'食材の単価'!$A$5:$A$204,0))&amp;"",""))</f>
        <v/>
      </c>
      <c r="E95" s="80">
        <f>IF(B95="","",IFERROR(INDEX('食材の単価'!$G$5:$G$204,MATCH(B95,'食材の単価'!$A$5:$A$204,0)),""))</f>
        <v/>
      </c>
      <c r="F95" s="78">
        <f>IF(AND(ISNUMBER(C95),ISNUMBER(E95)),C95*E95,"")</f>
        <v/>
      </c>
      <c r="G95" s="33" t="n"/>
      <c r="H95" s="34">
        <f>IF(COUNTA(A95:C95,G95)=0,"",IF(TRIM(A95)="","メニュー名がありません",IF(ISNA(MATCH(A95,'メニュー原価率'!$A$8:$A$107,0)),"メニュー原価率に無いメニューです",IF(TRIM(B95)="","食材名がありません",IF(ISNA(MATCH(B95,'食材の単価'!$A$5:$A$204,0)),"食材の単価に無い食材です",IF(NOT(ISNUMBER(C95)),"使用量がありません",IF(NOT(ISNUMBER(E95)),"食材の単価が出ていません（仕入価格・仕入量）","")))))))</f>
        <v/>
      </c>
    </row>
    <row r="96" ht="16" customHeight="1">
      <c r="A96" s="38" t="n"/>
      <c r="B96" s="38" t="n"/>
      <c r="C96" s="39" t="n"/>
      <c r="D96" s="53">
        <f>IF(B96="","",IFERROR(INDEX('食材の単価'!$D$5:$D$204,MATCH(B96,'食材の単価'!$A$5:$A$204,0))&amp;"",""))</f>
        <v/>
      </c>
      <c r="E96" s="80">
        <f>IF(B96="","",IFERROR(INDEX('食材の単価'!$G$5:$G$204,MATCH(B96,'食材の単価'!$A$5:$A$204,0)),""))</f>
        <v/>
      </c>
      <c r="F96" s="78">
        <f>IF(AND(ISNUMBER(C96),ISNUMBER(E96)),C96*E96,"")</f>
        <v/>
      </c>
      <c r="G96" s="33" t="n"/>
      <c r="H96" s="34">
        <f>IF(COUNTA(A96:C96,G96)=0,"",IF(TRIM(A96)="","メニュー名がありません",IF(ISNA(MATCH(A96,'メニュー原価率'!$A$8:$A$107,0)),"メニュー原価率に無いメニューです",IF(TRIM(B96)="","食材名がありません",IF(ISNA(MATCH(B96,'食材の単価'!$A$5:$A$204,0)),"食材の単価に無い食材です",IF(NOT(ISNUMBER(C96)),"使用量がありません",IF(NOT(ISNUMBER(E96)),"食材の単価が出ていません（仕入価格・仕入量）","")))))))</f>
        <v/>
      </c>
    </row>
    <row r="97" ht="16" customHeight="1">
      <c r="A97" s="38" t="n"/>
      <c r="B97" s="38" t="n"/>
      <c r="C97" s="39" t="n"/>
      <c r="D97" s="53">
        <f>IF(B97="","",IFERROR(INDEX('食材の単価'!$D$5:$D$204,MATCH(B97,'食材の単価'!$A$5:$A$204,0))&amp;"",""))</f>
        <v/>
      </c>
      <c r="E97" s="80">
        <f>IF(B97="","",IFERROR(INDEX('食材の単価'!$G$5:$G$204,MATCH(B97,'食材の単価'!$A$5:$A$204,0)),""))</f>
        <v/>
      </c>
      <c r="F97" s="78">
        <f>IF(AND(ISNUMBER(C97),ISNUMBER(E97)),C97*E97,"")</f>
        <v/>
      </c>
      <c r="G97" s="33" t="n"/>
      <c r="H97" s="34">
        <f>IF(COUNTA(A97:C97,G97)=0,"",IF(TRIM(A97)="","メニュー名がありません",IF(ISNA(MATCH(A97,'メニュー原価率'!$A$8:$A$107,0)),"メニュー原価率に無いメニューです",IF(TRIM(B97)="","食材名がありません",IF(ISNA(MATCH(B97,'食材の単価'!$A$5:$A$204,0)),"食材の単価に無い食材です",IF(NOT(ISNUMBER(C97)),"使用量がありません",IF(NOT(ISNUMBER(E97)),"食材の単価が出ていません（仕入価格・仕入量）","")))))))</f>
        <v/>
      </c>
    </row>
    <row r="98" ht="16" customHeight="1">
      <c r="A98" s="38" t="n"/>
      <c r="B98" s="38" t="n"/>
      <c r="C98" s="39" t="n"/>
      <c r="D98" s="53">
        <f>IF(B98="","",IFERROR(INDEX('食材の単価'!$D$5:$D$204,MATCH(B98,'食材の単価'!$A$5:$A$204,0))&amp;"",""))</f>
        <v/>
      </c>
      <c r="E98" s="80">
        <f>IF(B98="","",IFERROR(INDEX('食材の単価'!$G$5:$G$204,MATCH(B98,'食材の単価'!$A$5:$A$204,0)),""))</f>
        <v/>
      </c>
      <c r="F98" s="78">
        <f>IF(AND(ISNUMBER(C98),ISNUMBER(E98)),C98*E98,"")</f>
        <v/>
      </c>
      <c r="G98" s="33" t="n"/>
      <c r="H98" s="34">
        <f>IF(COUNTA(A98:C98,G98)=0,"",IF(TRIM(A98)="","メニュー名がありません",IF(ISNA(MATCH(A98,'メニュー原価率'!$A$8:$A$107,0)),"メニュー原価率に無いメニューです",IF(TRIM(B98)="","食材名がありません",IF(ISNA(MATCH(B98,'食材の単価'!$A$5:$A$204,0)),"食材の単価に無い食材です",IF(NOT(ISNUMBER(C98)),"使用量がありません",IF(NOT(ISNUMBER(E98)),"食材の単価が出ていません（仕入価格・仕入量）","")))))))</f>
        <v/>
      </c>
    </row>
    <row r="99" ht="16" customHeight="1">
      <c r="A99" s="38" t="n"/>
      <c r="B99" s="38" t="n"/>
      <c r="C99" s="39" t="n"/>
      <c r="D99" s="53">
        <f>IF(B99="","",IFERROR(INDEX('食材の単価'!$D$5:$D$204,MATCH(B99,'食材の単価'!$A$5:$A$204,0))&amp;"",""))</f>
        <v/>
      </c>
      <c r="E99" s="80">
        <f>IF(B99="","",IFERROR(INDEX('食材の単価'!$G$5:$G$204,MATCH(B99,'食材の単価'!$A$5:$A$204,0)),""))</f>
        <v/>
      </c>
      <c r="F99" s="78">
        <f>IF(AND(ISNUMBER(C99),ISNUMBER(E99)),C99*E99,"")</f>
        <v/>
      </c>
      <c r="G99" s="33" t="n"/>
      <c r="H99" s="34">
        <f>IF(COUNTA(A99:C99,G99)=0,"",IF(TRIM(A99)="","メニュー名がありません",IF(ISNA(MATCH(A99,'メニュー原価率'!$A$8:$A$107,0)),"メニュー原価率に無いメニューです",IF(TRIM(B99)="","食材名がありません",IF(ISNA(MATCH(B99,'食材の単価'!$A$5:$A$204,0)),"食材の単価に無い食材です",IF(NOT(ISNUMBER(C99)),"使用量がありません",IF(NOT(ISNUMBER(E99)),"食材の単価が出ていません（仕入価格・仕入量）","")))))))</f>
        <v/>
      </c>
    </row>
    <row r="100" ht="16" customHeight="1">
      <c r="A100" s="38" t="n"/>
      <c r="B100" s="38" t="n"/>
      <c r="C100" s="39" t="n"/>
      <c r="D100" s="53">
        <f>IF(B100="","",IFERROR(INDEX('食材の単価'!$D$5:$D$204,MATCH(B100,'食材の単価'!$A$5:$A$204,0))&amp;"",""))</f>
        <v/>
      </c>
      <c r="E100" s="80">
        <f>IF(B100="","",IFERROR(INDEX('食材の単価'!$G$5:$G$204,MATCH(B100,'食材の単価'!$A$5:$A$204,0)),""))</f>
        <v/>
      </c>
      <c r="F100" s="78">
        <f>IF(AND(ISNUMBER(C100),ISNUMBER(E100)),C100*E100,"")</f>
        <v/>
      </c>
      <c r="G100" s="33" t="n"/>
      <c r="H100" s="34">
        <f>IF(COUNTA(A100:C100,G100)=0,"",IF(TRIM(A100)="","メニュー名がありません",IF(ISNA(MATCH(A100,'メニュー原価率'!$A$8:$A$107,0)),"メニュー原価率に無いメニューです",IF(TRIM(B100)="","食材名がありません",IF(ISNA(MATCH(B100,'食材の単価'!$A$5:$A$204,0)),"食材の単価に無い食材です",IF(NOT(ISNUMBER(C100)),"使用量がありません",IF(NOT(ISNUMBER(E100)),"食材の単価が出ていません（仕入価格・仕入量）","")))))))</f>
        <v/>
      </c>
    </row>
    <row r="101" ht="16" customHeight="1">
      <c r="A101" s="38" t="n"/>
      <c r="B101" s="38" t="n"/>
      <c r="C101" s="39" t="n"/>
      <c r="D101" s="53">
        <f>IF(B101="","",IFERROR(INDEX('食材の単価'!$D$5:$D$204,MATCH(B101,'食材の単価'!$A$5:$A$204,0))&amp;"",""))</f>
        <v/>
      </c>
      <c r="E101" s="80">
        <f>IF(B101="","",IFERROR(INDEX('食材の単価'!$G$5:$G$204,MATCH(B101,'食材の単価'!$A$5:$A$204,0)),""))</f>
        <v/>
      </c>
      <c r="F101" s="78">
        <f>IF(AND(ISNUMBER(C101),ISNUMBER(E101)),C101*E101,"")</f>
        <v/>
      </c>
      <c r="G101" s="33" t="n"/>
      <c r="H101" s="34">
        <f>IF(COUNTA(A101:C101,G101)=0,"",IF(TRIM(A101)="","メニュー名がありません",IF(ISNA(MATCH(A101,'メニュー原価率'!$A$8:$A$107,0)),"メニュー原価率に無いメニューです",IF(TRIM(B101)="","食材名がありません",IF(ISNA(MATCH(B101,'食材の単価'!$A$5:$A$204,0)),"食材の単価に無い食材です",IF(NOT(ISNUMBER(C101)),"使用量がありません",IF(NOT(ISNUMBER(E101)),"食材の単価が出ていません（仕入価格・仕入量）","")))))))</f>
        <v/>
      </c>
    </row>
    <row r="102" ht="16" customHeight="1">
      <c r="A102" s="38" t="n"/>
      <c r="B102" s="38" t="n"/>
      <c r="C102" s="39" t="n"/>
      <c r="D102" s="53">
        <f>IF(B102="","",IFERROR(INDEX('食材の単価'!$D$5:$D$204,MATCH(B102,'食材の単価'!$A$5:$A$204,0))&amp;"",""))</f>
        <v/>
      </c>
      <c r="E102" s="80">
        <f>IF(B102="","",IFERROR(INDEX('食材の単価'!$G$5:$G$204,MATCH(B102,'食材の単価'!$A$5:$A$204,0)),""))</f>
        <v/>
      </c>
      <c r="F102" s="78">
        <f>IF(AND(ISNUMBER(C102),ISNUMBER(E102)),C102*E102,"")</f>
        <v/>
      </c>
      <c r="G102" s="33" t="n"/>
      <c r="H102" s="34">
        <f>IF(COUNTA(A102:C102,G102)=0,"",IF(TRIM(A102)="","メニュー名がありません",IF(ISNA(MATCH(A102,'メニュー原価率'!$A$8:$A$107,0)),"メニュー原価率に無いメニューです",IF(TRIM(B102)="","食材名がありません",IF(ISNA(MATCH(B102,'食材の単価'!$A$5:$A$204,0)),"食材の単価に無い食材です",IF(NOT(ISNUMBER(C102)),"使用量がありません",IF(NOT(ISNUMBER(E102)),"食材の単価が出ていません（仕入価格・仕入量）","")))))))</f>
        <v/>
      </c>
    </row>
    <row r="103" ht="16" customHeight="1">
      <c r="A103" s="38" t="n"/>
      <c r="B103" s="38" t="n"/>
      <c r="C103" s="39" t="n"/>
      <c r="D103" s="53">
        <f>IF(B103="","",IFERROR(INDEX('食材の単価'!$D$5:$D$204,MATCH(B103,'食材の単価'!$A$5:$A$204,0))&amp;"",""))</f>
        <v/>
      </c>
      <c r="E103" s="80">
        <f>IF(B103="","",IFERROR(INDEX('食材の単価'!$G$5:$G$204,MATCH(B103,'食材の単価'!$A$5:$A$204,0)),""))</f>
        <v/>
      </c>
      <c r="F103" s="78">
        <f>IF(AND(ISNUMBER(C103),ISNUMBER(E103)),C103*E103,"")</f>
        <v/>
      </c>
      <c r="G103" s="33" t="n"/>
      <c r="H103" s="34">
        <f>IF(COUNTA(A103:C103,G103)=0,"",IF(TRIM(A103)="","メニュー名がありません",IF(ISNA(MATCH(A103,'メニュー原価率'!$A$8:$A$107,0)),"メニュー原価率に無いメニューです",IF(TRIM(B103)="","食材名がありません",IF(ISNA(MATCH(B103,'食材の単価'!$A$5:$A$204,0)),"食材の単価に無い食材です",IF(NOT(ISNUMBER(C103)),"使用量がありません",IF(NOT(ISNUMBER(E103)),"食材の単価が出ていません（仕入価格・仕入量）","")))))))</f>
        <v/>
      </c>
    </row>
    <row r="104" ht="16" customHeight="1">
      <c r="A104" s="38" t="n"/>
      <c r="B104" s="38" t="n"/>
      <c r="C104" s="39" t="n"/>
      <c r="D104" s="53">
        <f>IF(B104="","",IFERROR(INDEX('食材の単価'!$D$5:$D$204,MATCH(B104,'食材の単価'!$A$5:$A$204,0))&amp;"",""))</f>
        <v/>
      </c>
      <c r="E104" s="80">
        <f>IF(B104="","",IFERROR(INDEX('食材の単価'!$G$5:$G$204,MATCH(B104,'食材の単価'!$A$5:$A$204,0)),""))</f>
        <v/>
      </c>
      <c r="F104" s="78">
        <f>IF(AND(ISNUMBER(C104),ISNUMBER(E104)),C104*E104,"")</f>
        <v/>
      </c>
      <c r="G104" s="33" t="n"/>
      <c r="H104" s="34">
        <f>IF(COUNTA(A104:C104,G104)=0,"",IF(TRIM(A104)="","メニュー名がありません",IF(ISNA(MATCH(A104,'メニュー原価率'!$A$8:$A$107,0)),"メニュー原価率に無いメニューです",IF(TRIM(B104)="","食材名がありません",IF(ISNA(MATCH(B104,'食材の単価'!$A$5:$A$204,0)),"食材の単価に無い食材です",IF(NOT(ISNUMBER(C104)),"使用量がありません",IF(NOT(ISNUMBER(E104)),"食材の単価が出ていません（仕入価格・仕入量）","")))))))</f>
        <v/>
      </c>
    </row>
    <row r="105" ht="16" customHeight="1">
      <c r="A105" s="38" t="n"/>
      <c r="B105" s="38" t="n"/>
      <c r="C105" s="39" t="n"/>
      <c r="D105" s="53">
        <f>IF(B105="","",IFERROR(INDEX('食材の単価'!$D$5:$D$204,MATCH(B105,'食材の単価'!$A$5:$A$204,0))&amp;"",""))</f>
        <v/>
      </c>
      <c r="E105" s="80">
        <f>IF(B105="","",IFERROR(INDEX('食材の単価'!$G$5:$G$204,MATCH(B105,'食材の単価'!$A$5:$A$204,0)),""))</f>
        <v/>
      </c>
      <c r="F105" s="78">
        <f>IF(AND(ISNUMBER(C105),ISNUMBER(E105)),C105*E105,"")</f>
        <v/>
      </c>
      <c r="G105" s="33" t="n"/>
      <c r="H105" s="34">
        <f>IF(COUNTA(A105:C105,G105)=0,"",IF(TRIM(A105)="","メニュー名がありません",IF(ISNA(MATCH(A105,'メニュー原価率'!$A$8:$A$107,0)),"メニュー原価率に無いメニューです",IF(TRIM(B105)="","食材名がありません",IF(ISNA(MATCH(B105,'食材の単価'!$A$5:$A$204,0)),"食材の単価に無い食材です",IF(NOT(ISNUMBER(C105)),"使用量がありません",IF(NOT(ISNUMBER(E105)),"食材の単価が出ていません（仕入価格・仕入量）","")))))))</f>
        <v/>
      </c>
    </row>
    <row r="106" ht="16" customHeight="1">
      <c r="A106" s="38" t="n"/>
      <c r="B106" s="38" t="n"/>
      <c r="C106" s="39" t="n"/>
      <c r="D106" s="53">
        <f>IF(B106="","",IFERROR(INDEX('食材の単価'!$D$5:$D$204,MATCH(B106,'食材の単価'!$A$5:$A$204,0))&amp;"",""))</f>
        <v/>
      </c>
      <c r="E106" s="80">
        <f>IF(B106="","",IFERROR(INDEX('食材の単価'!$G$5:$G$204,MATCH(B106,'食材の単価'!$A$5:$A$204,0)),""))</f>
        <v/>
      </c>
      <c r="F106" s="78">
        <f>IF(AND(ISNUMBER(C106),ISNUMBER(E106)),C106*E106,"")</f>
        <v/>
      </c>
      <c r="G106" s="33" t="n"/>
      <c r="H106" s="34">
        <f>IF(COUNTA(A106:C106,G106)=0,"",IF(TRIM(A106)="","メニュー名がありません",IF(ISNA(MATCH(A106,'メニュー原価率'!$A$8:$A$107,0)),"メニュー原価率に無いメニューです",IF(TRIM(B106)="","食材名がありません",IF(ISNA(MATCH(B106,'食材の単価'!$A$5:$A$204,0)),"食材の単価に無い食材です",IF(NOT(ISNUMBER(C106)),"使用量がありません",IF(NOT(ISNUMBER(E106)),"食材の単価が出ていません（仕入価格・仕入量）","")))))))</f>
        <v/>
      </c>
    </row>
    <row r="107" ht="16" customHeight="1">
      <c r="A107" s="38" t="n"/>
      <c r="B107" s="38" t="n"/>
      <c r="C107" s="39" t="n"/>
      <c r="D107" s="53">
        <f>IF(B107="","",IFERROR(INDEX('食材の単価'!$D$5:$D$204,MATCH(B107,'食材の単価'!$A$5:$A$204,0))&amp;"",""))</f>
        <v/>
      </c>
      <c r="E107" s="80">
        <f>IF(B107="","",IFERROR(INDEX('食材の単価'!$G$5:$G$204,MATCH(B107,'食材の単価'!$A$5:$A$204,0)),""))</f>
        <v/>
      </c>
      <c r="F107" s="78">
        <f>IF(AND(ISNUMBER(C107),ISNUMBER(E107)),C107*E107,"")</f>
        <v/>
      </c>
      <c r="G107" s="33" t="n"/>
      <c r="H107" s="34">
        <f>IF(COUNTA(A107:C107,G107)=0,"",IF(TRIM(A107)="","メニュー名がありません",IF(ISNA(MATCH(A107,'メニュー原価率'!$A$8:$A$107,0)),"メニュー原価率に無いメニューです",IF(TRIM(B107)="","食材名がありません",IF(ISNA(MATCH(B107,'食材の単価'!$A$5:$A$204,0)),"食材の単価に無い食材です",IF(NOT(ISNUMBER(C107)),"使用量がありません",IF(NOT(ISNUMBER(E107)),"食材の単価が出ていません（仕入価格・仕入量）","")))))))</f>
        <v/>
      </c>
    </row>
    <row r="108" ht="16" customHeight="1">
      <c r="A108" s="38" t="n"/>
      <c r="B108" s="38" t="n"/>
      <c r="C108" s="39" t="n"/>
      <c r="D108" s="53">
        <f>IF(B108="","",IFERROR(INDEX('食材の単価'!$D$5:$D$204,MATCH(B108,'食材の単価'!$A$5:$A$204,0))&amp;"",""))</f>
        <v/>
      </c>
      <c r="E108" s="80">
        <f>IF(B108="","",IFERROR(INDEX('食材の単価'!$G$5:$G$204,MATCH(B108,'食材の単価'!$A$5:$A$204,0)),""))</f>
        <v/>
      </c>
      <c r="F108" s="78">
        <f>IF(AND(ISNUMBER(C108),ISNUMBER(E108)),C108*E108,"")</f>
        <v/>
      </c>
      <c r="G108" s="33" t="n"/>
      <c r="H108" s="34">
        <f>IF(COUNTA(A108:C108,G108)=0,"",IF(TRIM(A108)="","メニュー名がありません",IF(ISNA(MATCH(A108,'メニュー原価率'!$A$8:$A$107,0)),"メニュー原価率に無いメニューです",IF(TRIM(B108)="","食材名がありません",IF(ISNA(MATCH(B108,'食材の単価'!$A$5:$A$204,0)),"食材の単価に無い食材です",IF(NOT(ISNUMBER(C108)),"使用量がありません",IF(NOT(ISNUMBER(E108)),"食材の単価が出ていません（仕入価格・仕入量）","")))))))</f>
        <v/>
      </c>
    </row>
    <row r="109" ht="16" customHeight="1">
      <c r="A109" s="38" t="n"/>
      <c r="B109" s="38" t="n"/>
      <c r="C109" s="39" t="n"/>
      <c r="D109" s="53">
        <f>IF(B109="","",IFERROR(INDEX('食材の単価'!$D$5:$D$204,MATCH(B109,'食材の単価'!$A$5:$A$204,0))&amp;"",""))</f>
        <v/>
      </c>
      <c r="E109" s="80">
        <f>IF(B109="","",IFERROR(INDEX('食材の単価'!$G$5:$G$204,MATCH(B109,'食材の単価'!$A$5:$A$204,0)),""))</f>
        <v/>
      </c>
      <c r="F109" s="78">
        <f>IF(AND(ISNUMBER(C109),ISNUMBER(E109)),C109*E109,"")</f>
        <v/>
      </c>
      <c r="G109" s="33" t="n"/>
      <c r="H109" s="34">
        <f>IF(COUNTA(A109:C109,G109)=0,"",IF(TRIM(A109)="","メニュー名がありません",IF(ISNA(MATCH(A109,'メニュー原価率'!$A$8:$A$107,0)),"メニュー原価率に無いメニューです",IF(TRIM(B109)="","食材名がありません",IF(ISNA(MATCH(B109,'食材の単価'!$A$5:$A$204,0)),"食材の単価に無い食材です",IF(NOT(ISNUMBER(C109)),"使用量がありません",IF(NOT(ISNUMBER(E109)),"食材の単価が出ていません（仕入価格・仕入量）","")))))))</f>
        <v/>
      </c>
    </row>
    <row r="110" ht="16" customHeight="1">
      <c r="A110" s="38" t="n"/>
      <c r="B110" s="38" t="n"/>
      <c r="C110" s="39" t="n"/>
      <c r="D110" s="53">
        <f>IF(B110="","",IFERROR(INDEX('食材の単価'!$D$5:$D$204,MATCH(B110,'食材の単価'!$A$5:$A$204,0))&amp;"",""))</f>
        <v/>
      </c>
      <c r="E110" s="80">
        <f>IF(B110="","",IFERROR(INDEX('食材の単価'!$G$5:$G$204,MATCH(B110,'食材の単価'!$A$5:$A$204,0)),""))</f>
        <v/>
      </c>
      <c r="F110" s="78">
        <f>IF(AND(ISNUMBER(C110),ISNUMBER(E110)),C110*E110,"")</f>
        <v/>
      </c>
      <c r="G110" s="33" t="n"/>
      <c r="H110" s="34">
        <f>IF(COUNTA(A110:C110,G110)=0,"",IF(TRIM(A110)="","メニュー名がありません",IF(ISNA(MATCH(A110,'メニュー原価率'!$A$8:$A$107,0)),"メニュー原価率に無いメニューです",IF(TRIM(B110)="","食材名がありません",IF(ISNA(MATCH(B110,'食材の単価'!$A$5:$A$204,0)),"食材の単価に無い食材です",IF(NOT(ISNUMBER(C110)),"使用量がありません",IF(NOT(ISNUMBER(E110)),"食材の単価が出ていません（仕入価格・仕入量）","")))))))</f>
        <v/>
      </c>
    </row>
    <row r="111" ht="16" customHeight="1">
      <c r="A111" s="38" t="n"/>
      <c r="B111" s="38" t="n"/>
      <c r="C111" s="39" t="n"/>
      <c r="D111" s="53">
        <f>IF(B111="","",IFERROR(INDEX('食材の単価'!$D$5:$D$204,MATCH(B111,'食材の単価'!$A$5:$A$204,0))&amp;"",""))</f>
        <v/>
      </c>
      <c r="E111" s="80">
        <f>IF(B111="","",IFERROR(INDEX('食材の単価'!$G$5:$G$204,MATCH(B111,'食材の単価'!$A$5:$A$204,0)),""))</f>
        <v/>
      </c>
      <c r="F111" s="78">
        <f>IF(AND(ISNUMBER(C111),ISNUMBER(E111)),C111*E111,"")</f>
        <v/>
      </c>
      <c r="G111" s="33" t="n"/>
      <c r="H111" s="34">
        <f>IF(COUNTA(A111:C111,G111)=0,"",IF(TRIM(A111)="","メニュー名がありません",IF(ISNA(MATCH(A111,'メニュー原価率'!$A$8:$A$107,0)),"メニュー原価率に無いメニューです",IF(TRIM(B111)="","食材名がありません",IF(ISNA(MATCH(B111,'食材の単価'!$A$5:$A$204,0)),"食材の単価に無い食材です",IF(NOT(ISNUMBER(C111)),"使用量がありません",IF(NOT(ISNUMBER(E111)),"食材の単価が出ていません（仕入価格・仕入量）","")))))))</f>
        <v/>
      </c>
    </row>
    <row r="112" ht="16" customHeight="1">
      <c r="A112" s="38" t="n"/>
      <c r="B112" s="38" t="n"/>
      <c r="C112" s="39" t="n"/>
      <c r="D112" s="53">
        <f>IF(B112="","",IFERROR(INDEX('食材の単価'!$D$5:$D$204,MATCH(B112,'食材の単価'!$A$5:$A$204,0))&amp;"",""))</f>
        <v/>
      </c>
      <c r="E112" s="80">
        <f>IF(B112="","",IFERROR(INDEX('食材の単価'!$G$5:$G$204,MATCH(B112,'食材の単価'!$A$5:$A$204,0)),""))</f>
        <v/>
      </c>
      <c r="F112" s="78">
        <f>IF(AND(ISNUMBER(C112),ISNUMBER(E112)),C112*E112,"")</f>
        <v/>
      </c>
      <c r="G112" s="33" t="n"/>
      <c r="H112" s="34">
        <f>IF(COUNTA(A112:C112,G112)=0,"",IF(TRIM(A112)="","メニュー名がありません",IF(ISNA(MATCH(A112,'メニュー原価率'!$A$8:$A$107,0)),"メニュー原価率に無いメニューです",IF(TRIM(B112)="","食材名がありません",IF(ISNA(MATCH(B112,'食材の単価'!$A$5:$A$204,0)),"食材の単価に無い食材です",IF(NOT(ISNUMBER(C112)),"使用量がありません",IF(NOT(ISNUMBER(E112)),"食材の単価が出ていません（仕入価格・仕入量）","")))))))</f>
        <v/>
      </c>
    </row>
    <row r="113" ht="16" customHeight="1">
      <c r="A113" s="38" t="n"/>
      <c r="B113" s="38" t="n"/>
      <c r="C113" s="39" t="n"/>
      <c r="D113" s="53">
        <f>IF(B113="","",IFERROR(INDEX('食材の単価'!$D$5:$D$204,MATCH(B113,'食材の単価'!$A$5:$A$204,0))&amp;"",""))</f>
        <v/>
      </c>
      <c r="E113" s="80">
        <f>IF(B113="","",IFERROR(INDEX('食材の単価'!$G$5:$G$204,MATCH(B113,'食材の単価'!$A$5:$A$204,0)),""))</f>
        <v/>
      </c>
      <c r="F113" s="78">
        <f>IF(AND(ISNUMBER(C113),ISNUMBER(E113)),C113*E113,"")</f>
        <v/>
      </c>
      <c r="G113" s="33" t="n"/>
      <c r="H113" s="34">
        <f>IF(COUNTA(A113:C113,G113)=0,"",IF(TRIM(A113)="","メニュー名がありません",IF(ISNA(MATCH(A113,'メニュー原価率'!$A$8:$A$107,0)),"メニュー原価率に無いメニューです",IF(TRIM(B113)="","食材名がありません",IF(ISNA(MATCH(B113,'食材の単価'!$A$5:$A$204,0)),"食材の単価に無い食材です",IF(NOT(ISNUMBER(C113)),"使用量がありません",IF(NOT(ISNUMBER(E113)),"食材の単価が出ていません（仕入価格・仕入量）","")))))))</f>
        <v/>
      </c>
    </row>
    <row r="114" ht="16" customHeight="1">
      <c r="A114" s="38" t="n"/>
      <c r="B114" s="38" t="n"/>
      <c r="C114" s="39" t="n"/>
      <c r="D114" s="53">
        <f>IF(B114="","",IFERROR(INDEX('食材の単価'!$D$5:$D$204,MATCH(B114,'食材の単価'!$A$5:$A$204,0))&amp;"",""))</f>
        <v/>
      </c>
      <c r="E114" s="80">
        <f>IF(B114="","",IFERROR(INDEX('食材の単価'!$G$5:$G$204,MATCH(B114,'食材の単価'!$A$5:$A$204,0)),""))</f>
        <v/>
      </c>
      <c r="F114" s="78">
        <f>IF(AND(ISNUMBER(C114),ISNUMBER(E114)),C114*E114,"")</f>
        <v/>
      </c>
      <c r="G114" s="33" t="n"/>
      <c r="H114" s="34">
        <f>IF(COUNTA(A114:C114,G114)=0,"",IF(TRIM(A114)="","メニュー名がありません",IF(ISNA(MATCH(A114,'メニュー原価率'!$A$8:$A$107,0)),"メニュー原価率に無いメニューです",IF(TRIM(B114)="","食材名がありません",IF(ISNA(MATCH(B114,'食材の単価'!$A$5:$A$204,0)),"食材の単価に無い食材です",IF(NOT(ISNUMBER(C114)),"使用量がありません",IF(NOT(ISNUMBER(E114)),"食材の単価が出ていません（仕入価格・仕入量）","")))))))</f>
        <v/>
      </c>
    </row>
    <row r="115" ht="16" customHeight="1">
      <c r="A115" s="38" t="n"/>
      <c r="B115" s="38" t="n"/>
      <c r="C115" s="39" t="n"/>
      <c r="D115" s="53">
        <f>IF(B115="","",IFERROR(INDEX('食材の単価'!$D$5:$D$204,MATCH(B115,'食材の単価'!$A$5:$A$204,0))&amp;"",""))</f>
        <v/>
      </c>
      <c r="E115" s="80">
        <f>IF(B115="","",IFERROR(INDEX('食材の単価'!$G$5:$G$204,MATCH(B115,'食材の単価'!$A$5:$A$204,0)),""))</f>
        <v/>
      </c>
      <c r="F115" s="78">
        <f>IF(AND(ISNUMBER(C115),ISNUMBER(E115)),C115*E115,"")</f>
        <v/>
      </c>
      <c r="G115" s="33" t="n"/>
      <c r="H115" s="34">
        <f>IF(COUNTA(A115:C115,G115)=0,"",IF(TRIM(A115)="","メニュー名がありません",IF(ISNA(MATCH(A115,'メニュー原価率'!$A$8:$A$107,0)),"メニュー原価率に無いメニューです",IF(TRIM(B115)="","食材名がありません",IF(ISNA(MATCH(B115,'食材の単価'!$A$5:$A$204,0)),"食材の単価に無い食材です",IF(NOT(ISNUMBER(C115)),"使用量がありません",IF(NOT(ISNUMBER(E115)),"食材の単価が出ていません（仕入価格・仕入量）","")))))))</f>
        <v/>
      </c>
    </row>
    <row r="116" ht="16" customHeight="1">
      <c r="A116" s="38" t="n"/>
      <c r="B116" s="38" t="n"/>
      <c r="C116" s="39" t="n"/>
      <c r="D116" s="53">
        <f>IF(B116="","",IFERROR(INDEX('食材の単価'!$D$5:$D$204,MATCH(B116,'食材の単価'!$A$5:$A$204,0))&amp;"",""))</f>
        <v/>
      </c>
      <c r="E116" s="80">
        <f>IF(B116="","",IFERROR(INDEX('食材の単価'!$G$5:$G$204,MATCH(B116,'食材の単価'!$A$5:$A$204,0)),""))</f>
        <v/>
      </c>
      <c r="F116" s="78">
        <f>IF(AND(ISNUMBER(C116),ISNUMBER(E116)),C116*E116,"")</f>
        <v/>
      </c>
      <c r="G116" s="33" t="n"/>
      <c r="H116" s="34">
        <f>IF(COUNTA(A116:C116,G116)=0,"",IF(TRIM(A116)="","メニュー名がありません",IF(ISNA(MATCH(A116,'メニュー原価率'!$A$8:$A$107,0)),"メニュー原価率に無いメニューです",IF(TRIM(B116)="","食材名がありません",IF(ISNA(MATCH(B116,'食材の単価'!$A$5:$A$204,0)),"食材の単価に無い食材です",IF(NOT(ISNUMBER(C116)),"使用量がありません",IF(NOT(ISNUMBER(E116)),"食材の単価が出ていません（仕入価格・仕入量）","")))))))</f>
        <v/>
      </c>
    </row>
    <row r="117" ht="16" customHeight="1">
      <c r="A117" s="38" t="n"/>
      <c r="B117" s="38" t="n"/>
      <c r="C117" s="39" t="n"/>
      <c r="D117" s="53">
        <f>IF(B117="","",IFERROR(INDEX('食材の単価'!$D$5:$D$204,MATCH(B117,'食材の単価'!$A$5:$A$204,0))&amp;"",""))</f>
        <v/>
      </c>
      <c r="E117" s="80">
        <f>IF(B117="","",IFERROR(INDEX('食材の単価'!$G$5:$G$204,MATCH(B117,'食材の単価'!$A$5:$A$204,0)),""))</f>
        <v/>
      </c>
      <c r="F117" s="78">
        <f>IF(AND(ISNUMBER(C117),ISNUMBER(E117)),C117*E117,"")</f>
        <v/>
      </c>
      <c r="G117" s="33" t="n"/>
      <c r="H117" s="34">
        <f>IF(COUNTA(A117:C117,G117)=0,"",IF(TRIM(A117)="","メニュー名がありません",IF(ISNA(MATCH(A117,'メニュー原価率'!$A$8:$A$107,0)),"メニュー原価率に無いメニューです",IF(TRIM(B117)="","食材名がありません",IF(ISNA(MATCH(B117,'食材の単価'!$A$5:$A$204,0)),"食材の単価に無い食材です",IF(NOT(ISNUMBER(C117)),"使用量がありません",IF(NOT(ISNUMBER(E117)),"食材の単価が出ていません（仕入価格・仕入量）","")))))))</f>
        <v/>
      </c>
    </row>
    <row r="118" ht="16" customHeight="1">
      <c r="A118" s="38" t="n"/>
      <c r="B118" s="38" t="n"/>
      <c r="C118" s="39" t="n"/>
      <c r="D118" s="53">
        <f>IF(B118="","",IFERROR(INDEX('食材の単価'!$D$5:$D$204,MATCH(B118,'食材の単価'!$A$5:$A$204,0))&amp;"",""))</f>
        <v/>
      </c>
      <c r="E118" s="80">
        <f>IF(B118="","",IFERROR(INDEX('食材の単価'!$G$5:$G$204,MATCH(B118,'食材の単価'!$A$5:$A$204,0)),""))</f>
        <v/>
      </c>
      <c r="F118" s="78">
        <f>IF(AND(ISNUMBER(C118),ISNUMBER(E118)),C118*E118,"")</f>
        <v/>
      </c>
      <c r="G118" s="33" t="n"/>
      <c r="H118" s="34">
        <f>IF(COUNTA(A118:C118,G118)=0,"",IF(TRIM(A118)="","メニュー名がありません",IF(ISNA(MATCH(A118,'メニュー原価率'!$A$8:$A$107,0)),"メニュー原価率に無いメニューです",IF(TRIM(B118)="","食材名がありません",IF(ISNA(MATCH(B118,'食材の単価'!$A$5:$A$204,0)),"食材の単価に無い食材です",IF(NOT(ISNUMBER(C118)),"使用量がありません",IF(NOT(ISNUMBER(E118)),"食材の単価が出ていません（仕入価格・仕入量）","")))))))</f>
        <v/>
      </c>
    </row>
    <row r="119" ht="16" customHeight="1">
      <c r="A119" s="38" t="n"/>
      <c r="B119" s="38" t="n"/>
      <c r="C119" s="39" t="n"/>
      <c r="D119" s="53">
        <f>IF(B119="","",IFERROR(INDEX('食材の単価'!$D$5:$D$204,MATCH(B119,'食材の単価'!$A$5:$A$204,0))&amp;"",""))</f>
        <v/>
      </c>
      <c r="E119" s="80">
        <f>IF(B119="","",IFERROR(INDEX('食材の単価'!$G$5:$G$204,MATCH(B119,'食材の単価'!$A$5:$A$204,0)),""))</f>
        <v/>
      </c>
      <c r="F119" s="78">
        <f>IF(AND(ISNUMBER(C119),ISNUMBER(E119)),C119*E119,"")</f>
        <v/>
      </c>
      <c r="G119" s="33" t="n"/>
      <c r="H119" s="34">
        <f>IF(COUNTA(A119:C119,G119)=0,"",IF(TRIM(A119)="","メニュー名がありません",IF(ISNA(MATCH(A119,'メニュー原価率'!$A$8:$A$107,0)),"メニュー原価率に無いメニューです",IF(TRIM(B119)="","食材名がありません",IF(ISNA(MATCH(B119,'食材の単価'!$A$5:$A$204,0)),"食材の単価に無い食材です",IF(NOT(ISNUMBER(C119)),"使用量がありません",IF(NOT(ISNUMBER(E119)),"食材の単価が出ていません（仕入価格・仕入量）","")))))))</f>
        <v/>
      </c>
    </row>
    <row r="120" ht="16" customHeight="1">
      <c r="A120" s="38" t="n"/>
      <c r="B120" s="38" t="n"/>
      <c r="C120" s="39" t="n"/>
      <c r="D120" s="53">
        <f>IF(B120="","",IFERROR(INDEX('食材の単価'!$D$5:$D$204,MATCH(B120,'食材の単価'!$A$5:$A$204,0))&amp;"",""))</f>
        <v/>
      </c>
      <c r="E120" s="80">
        <f>IF(B120="","",IFERROR(INDEX('食材の単価'!$G$5:$G$204,MATCH(B120,'食材の単価'!$A$5:$A$204,0)),""))</f>
        <v/>
      </c>
      <c r="F120" s="78">
        <f>IF(AND(ISNUMBER(C120),ISNUMBER(E120)),C120*E120,"")</f>
        <v/>
      </c>
      <c r="G120" s="33" t="n"/>
      <c r="H120" s="34">
        <f>IF(COUNTA(A120:C120,G120)=0,"",IF(TRIM(A120)="","メニュー名がありません",IF(ISNA(MATCH(A120,'メニュー原価率'!$A$8:$A$107,0)),"メニュー原価率に無いメニューです",IF(TRIM(B120)="","食材名がありません",IF(ISNA(MATCH(B120,'食材の単価'!$A$5:$A$204,0)),"食材の単価に無い食材です",IF(NOT(ISNUMBER(C120)),"使用量がありません",IF(NOT(ISNUMBER(E120)),"食材の単価が出ていません（仕入価格・仕入量）","")))))))</f>
        <v/>
      </c>
    </row>
    <row r="121" ht="16" customHeight="1">
      <c r="A121" s="38" t="n"/>
      <c r="B121" s="38" t="n"/>
      <c r="C121" s="39" t="n"/>
      <c r="D121" s="53">
        <f>IF(B121="","",IFERROR(INDEX('食材の単価'!$D$5:$D$204,MATCH(B121,'食材の単価'!$A$5:$A$204,0))&amp;"",""))</f>
        <v/>
      </c>
      <c r="E121" s="80">
        <f>IF(B121="","",IFERROR(INDEX('食材の単価'!$G$5:$G$204,MATCH(B121,'食材の単価'!$A$5:$A$204,0)),""))</f>
        <v/>
      </c>
      <c r="F121" s="78">
        <f>IF(AND(ISNUMBER(C121),ISNUMBER(E121)),C121*E121,"")</f>
        <v/>
      </c>
      <c r="G121" s="33" t="n"/>
      <c r="H121" s="34">
        <f>IF(COUNTA(A121:C121,G121)=0,"",IF(TRIM(A121)="","メニュー名がありません",IF(ISNA(MATCH(A121,'メニュー原価率'!$A$8:$A$107,0)),"メニュー原価率に無いメニューです",IF(TRIM(B121)="","食材名がありません",IF(ISNA(MATCH(B121,'食材の単価'!$A$5:$A$204,0)),"食材の単価に無い食材です",IF(NOT(ISNUMBER(C121)),"使用量がありません",IF(NOT(ISNUMBER(E121)),"食材の単価が出ていません（仕入価格・仕入量）","")))))))</f>
        <v/>
      </c>
    </row>
    <row r="122" ht="16" customHeight="1">
      <c r="A122" s="38" t="n"/>
      <c r="B122" s="38" t="n"/>
      <c r="C122" s="39" t="n"/>
      <c r="D122" s="53">
        <f>IF(B122="","",IFERROR(INDEX('食材の単価'!$D$5:$D$204,MATCH(B122,'食材の単価'!$A$5:$A$204,0))&amp;"",""))</f>
        <v/>
      </c>
      <c r="E122" s="80">
        <f>IF(B122="","",IFERROR(INDEX('食材の単価'!$G$5:$G$204,MATCH(B122,'食材の単価'!$A$5:$A$204,0)),""))</f>
        <v/>
      </c>
      <c r="F122" s="78">
        <f>IF(AND(ISNUMBER(C122),ISNUMBER(E122)),C122*E122,"")</f>
        <v/>
      </c>
      <c r="G122" s="33" t="n"/>
      <c r="H122" s="34">
        <f>IF(COUNTA(A122:C122,G122)=0,"",IF(TRIM(A122)="","メニュー名がありません",IF(ISNA(MATCH(A122,'メニュー原価率'!$A$8:$A$107,0)),"メニュー原価率に無いメニューです",IF(TRIM(B122)="","食材名がありません",IF(ISNA(MATCH(B122,'食材の単価'!$A$5:$A$204,0)),"食材の単価に無い食材です",IF(NOT(ISNUMBER(C122)),"使用量がありません",IF(NOT(ISNUMBER(E122)),"食材の単価が出ていません（仕入価格・仕入量）","")))))))</f>
        <v/>
      </c>
    </row>
    <row r="123" ht="16" customHeight="1">
      <c r="A123" s="38" t="n"/>
      <c r="B123" s="38" t="n"/>
      <c r="C123" s="39" t="n"/>
      <c r="D123" s="53">
        <f>IF(B123="","",IFERROR(INDEX('食材の単価'!$D$5:$D$204,MATCH(B123,'食材の単価'!$A$5:$A$204,0))&amp;"",""))</f>
        <v/>
      </c>
      <c r="E123" s="80">
        <f>IF(B123="","",IFERROR(INDEX('食材の単価'!$G$5:$G$204,MATCH(B123,'食材の単価'!$A$5:$A$204,0)),""))</f>
        <v/>
      </c>
      <c r="F123" s="78">
        <f>IF(AND(ISNUMBER(C123),ISNUMBER(E123)),C123*E123,"")</f>
        <v/>
      </c>
      <c r="G123" s="33" t="n"/>
      <c r="H123" s="34">
        <f>IF(COUNTA(A123:C123,G123)=0,"",IF(TRIM(A123)="","メニュー名がありません",IF(ISNA(MATCH(A123,'メニュー原価率'!$A$8:$A$107,0)),"メニュー原価率に無いメニューです",IF(TRIM(B123)="","食材名がありません",IF(ISNA(MATCH(B123,'食材の単価'!$A$5:$A$204,0)),"食材の単価に無い食材です",IF(NOT(ISNUMBER(C123)),"使用量がありません",IF(NOT(ISNUMBER(E123)),"食材の単価が出ていません（仕入価格・仕入量）","")))))))</f>
        <v/>
      </c>
    </row>
    <row r="124" ht="16" customHeight="1">
      <c r="A124" s="38" t="n"/>
      <c r="B124" s="38" t="n"/>
      <c r="C124" s="39" t="n"/>
      <c r="D124" s="53">
        <f>IF(B124="","",IFERROR(INDEX('食材の単価'!$D$5:$D$204,MATCH(B124,'食材の単価'!$A$5:$A$204,0))&amp;"",""))</f>
        <v/>
      </c>
      <c r="E124" s="80">
        <f>IF(B124="","",IFERROR(INDEX('食材の単価'!$G$5:$G$204,MATCH(B124,'食材の単価'!$A$5:$A$204,0)),""))</f>
        <v/>
      </c>
      <c r="F124" s="78">
        <f>IF(AND(ISNUMBER(C124),ISNUMBER(E124)),C124*E124,"")</f>
        <v/>
      </c>
      <c r="G124" s="33" t="n"/>
      <c r="H124" s="34">
        <f>IF(COUNTA(A124:C124,G124)=0,"",IF(TRIM(A124)="","メニュー名がありません",IF(ISNA(MATCH(A124,'メニュー原価率'!$A$8:$A$107,0)),"メニュー原価率に無いメニューです",IF(TRIM(B124)="","食材名がありません",IF(ISNA(MATCH(B124,'食材の単価'!$A$5:$A$204,0)),"食材の単価に無い食材です",IF(NOT(ISNUMBER(C124)),"使用量がありません",IF(NOT(ISNUMBER(E124)),"食材の単価が出ていません（仕入価格・仕入量）","")))))))</f>
        <v/>
      </c>
    </row>
    <row r="125" ht="16" customHeight="1">
      <c r="A125" s="38" t="n"/>
      <c r="B125" s="38" t="n"/>
      <c r="C125" s="39" t="n"/>
      <c r="D125" s="53">
        <f>IF(B125="","",IFERROR(INDEX('食材の単価'!$D$5:$D$204,MATCH(B125,'食材の単価'!$A$5:$A$204,0))&amp;"",""))</f>
        <v/>
      </c>
      <c r="E125" s="80">
        <f>IF(B125="","",IFERROR(INDEX('食材の単価'!$G$5:$G$204,MATCH(B125,'食材の単価'!$A$5:$A$204,0)),""))</f>
        <v/>
      </c>
      <c r="F125" s="78">
        <f>IF(AND(ISNUMBER(C125),ISNUMBER(E125)),C125*E125,"")</f>
        <v/>
      </c>
      <c r="G125" s="33" t="n"/>
      <c r="H125" s="34">
        <f>IF(COUNTA(A125:C125,G125)=0,"",IF(TRIM(A125)="","メニュー名がありません",IF(ISNA(MATCH(A125,'メニュー原価率'!$A$8:$A$107,0)),"メニュー原価率に無いメニューです",IF(TRIM(B125)="","食材名がありません",IF(ISNA(MATCH(B125,'食材の単価'!$A$5:$A$204,0)),"食材の単価に無い食材です",IF(NOT(ISNUMBER(C125)),"使用量がありません",IF(NOT(ISNUMBER(E125)),"食材の単価が出ていません（仕入価格・仕入量）","")))))))</f>
        <v/>
      </c>
    </row>
    <row r="126" ht="16" customHeight="1">
      <c r="A126" s="38" t="n"/>
      <c r="B126" s="38" t="n"/>
      <c r="C126" s="39" t="n"/>
      <c r="D126" s="53">
        <f>IF(B126="","",IFERROR(INDEX('食材の単価'!$D$5:$D$204,MATCH(B126,'食材の単価'!$A$5:$A$204,0))&amp;"",""))</f>
        <v/>
      </c>
      <c r="E126" s="80">
        <f>IF(B126="","",IFERROR(INDEX('食材の単価'!$G$5:$G$204,MATCH(B126,'食材の単価'!$A$5:$A$204,0)),""))</f>
        <v/>
      </c>
      <c r="F126" s="78">
        <f>IF(AND(ISNUMBER(C126),ISNUMBER(E126)),C126*E126,"")</f>
        <v/>
      </c>
      <c r="G126" s="33" t="n"/>
      <c r="H126" s="34">
        <f>IF(COUNTA(A126:C126,G126)=0,"",IF(TRIM(A126)="","メニュー名がありません",IF(ISNA(MATCH(A126,'メニュー原価率'!$A$8:$A$107,0)),"メニュー原価率に無いメニューです",IF(TRIM(B126)="","食材名がありません",IF(ISNA(MATCH(B126,'食材の単価'!$A$5:$A$204,0)),"食材の単価に無い食材です",IF(NOT(ISNUMBER(C126)),"使用量がありません",IF(NOT(ISNUMBER(E126)),"食材の単価が出ていません（仕入価格・仕入量）","")))))))</f>
        <v/>
      </c>
    </row>
    <row r="127" ht="16" customHeight="1">
      <c r="A127" s="38" t="n"/>
      <c r="B127" s="38" t="n"/>
      <c r="C127" s="39" t="n"/>
      <c r="D127" s="53">
        <f>IF(B127="","",IFERROR(INDEX('食材の単価'!$D$5:$D$204,MATCH(B127,'食材の単価'!$A$5:$A$204,0))&amp;"",""))</f>
        <v/>
      </c>
      <c r="E127" s="80">
        <f>IF(B127="","",IFERROR(INDEX('食材の単価'!$G$5:$G$204,MATCH(B127,'食材の単価'!$A$5:$A$204,0)),""))</f>
        <v/>
      </c>
      <c r="F127" s="78">
        <f>IF(AND(ISNUMBER(C127),ISNUMBER(E127)),C127*E127,"")</f>
        <v/>
      </c>
      <c r="G127" s="33" t="n"/>
      <c r="H127" s="34">
        <f>IF(COUNTA(A127:C127,G127)=0,"",IF(TRIM(A127)="","メニュー名がありません",IF(ISNA(MATCH(A127,'メニュー原価率'!$A$8:$A$107,0)),"メニュー原価率に無いメニューです",IF(TRIM(B127)="","食材名がありません",IF(ISNA(MATCH(B127,'食材の単価'!$A$5:$A$204,0)),"食材の単価に無い食材です",IF(NOT(ISNUMBER(C127)),"使用量がありません",IF(NOT(ISNUMBER(E127)),"食材の単価が出ていません（仕入価格・仕入量）","")))))))</f>
        <v/>
      </c>
    </row>
    <row r="128" ht="16" customHeight="1">
      <c r="A128" s="38" t="n"/>
      <c r="B128" s="38" t="n"/>
      <c r="C128" s="39" t="n"/>
      <c r="D128" s="53">
        <f>IF(B128="","",IFERROR(INDEX('食材の単価'!$D$5:$D$204,MATCH(B128,'食材の単価'!$A$5:$A$204,0))&amp;"",""))</f>
        <v/>
      </c>
      <c r="E128" s="80">
        <f>IF(B128="","",IFERROR(INDEX('食材の単価'!$G$5:$G$204,MATCH(B128,'食材の単価'!$A$5:$A$204,0)),""))</f>
        <v/>
      </c>
      <c r="F128" s="78">
        <f>IF(AND(ISNUMBER(C128),ISNUMBER(E128)),C128*E128,"")</f>
        <v/>
      </c>
      <c r="G128" s="33" t="n"/>
      <c r="H128" s="34">
        <f>IF(COUNTA(A128:C128,G128)=0,"",IF(TRIM(A128)="","メニュー名がありません",IF(ISNA(MATCH(A128,'メニュー原価率'!$A$8:$A$107,0)),"メニュー原価率に無いメニューです",IF(TRIM(B128)="","食材名がありません",IF(ISNA(MATCH(B128,'食材の単価'!$A$5:$A$204,0)),"食材の単価に無い食材です",IF(NOT(ISNUMBER(C128)),"使用量がありません",IF(NOT(ISNUMBER(E128)),"食材の単価が出ていません（仕入価格・仕入量）","")))))))</f>
        <v/>
      </c>
    </row>
    <row r="129" ht="16" customHeight="1">
      <c r="A129" s="38" t="n"/>
      <c r="B129" s="38" t="n"/>
      <c r="C129" s="39" t="n"/>
      <c r="D129" s="53">
        <f>IF(B129="","",IFERROR(INDEX('食材の単価'!$D$5:$D$204,MATCH(B129,'食材の単価'!$A$5:$A$204,0))&amp;"",""))</f>
        <v/>
      </c>
      <c r="E129" s="80">
        <f>IF(B129="","",IFERROR(INDEX('食材の単価'!$G$5:$G$204,MATCH(B129,'食材の単価'!$A$5:$A$204,0)),""))</f>
        <v/>
      </c>
      <c r="F129" s="78">
        <f>IF(AND(ISNUMBER(C129),ISNUMBER(E129)),C129*E129,"")</f>
        <v/>
      </c>
      <c r="G129" s="33" t="n"/>
      <c r="H129" s="34">
        <f>IF(COUNTA(A129:C129,G129)=0,"",IF(TRIM(A129)="","メニュー名がありません",IF(ISNA(MATCH(A129,'メニュー原価率'!$A$8:$A$107,0)),"メニュー原価率に無いメニューです",IF(TRIM(B129)="","食材名がありません",IF(ISNA(MATCH(B129,'食材の単価'!$A$5:$A$204,0)),"食材の単価に無い食材です",IF(NOT(ISNUMBER(C129)),"使用量がありません",IF(NOT(ISNUMBER(E129)),"食材の単価が出ていません（仕入価格・仕入量）","")))))))</f>
        <v/>
      </c>
    </row>
    <row r="130" ht="16" customHeight="1">
      <c r="A130" s="38" t="n"/>
      <c r="B130" s="38" t="n"/>
      <c r="C130" s="39" t="n"/>
      <c r="D130" s="53">
        <f>IF(B130="","",IFERROR(INDEX('食材の単価'!$D$5:$D$204,MATCH(B130,'食材の単価'!$A$5:$A$204,0))&amp;"",""))</f>
        <v/>
      </c>
      <c r="E130" s="80">
        <f>IF(B130="","",IFERROR(INDEX('食材の単価'!$G$5:$G$204,MATCH(B130,'食材の単価'!$A$5:$A$204,0)),""))</f>
        <v/>
      </c>
      <c r="F130" s="78">
        <f>IF(AND(ISNUMBER(C130),ISNUMBER(E130)),C130*E130,"")</f>
        <v/>
      </c>
      <c r="G130" s="33" t="n"/>
      <c r="H130" s="34">
        <f>IF(COUNTA(A130:C130,G130)=0,"",IF(TRIM(A130)="","メニュー名がありません",IF(ISNA(MATCH(A130,'メニュー原価率'!$A$8:$A$107,0)),"メニュー原価率に無いメニューです",IF(TRIM(B130)="","食材名がありません",IF(ISNA(MATCH(B130,'食材の単価'!$A$5:$A$204,0)),"食材の単価に無い食材です",IF(NOT(ISNUMBER(C130)),"使用量がありません",IF(NOT(ISNUMBER(E130)),"食材の単価が出ていません（仕入価格・仕入量）","")))))))</f>
        <v/>
      </c>
    </row>
    <row r="131" ht="16" customHeight="1">
      <c r="A131" s="38" t="n"/>
      <c r="B131" s="38" t="n"/>
      <c r="C131" s="39" t="n"/>
      <c r="D131" s="53">
        <f>IF(B131="","",IFERROR(INDEX('食材の単価'!$D$5:$D$204,MATCH(B131,'食材の単価'!$A$5:$A$204,0))&amp;"",""))</f>
        <v/>
      </c>
      <c r="E131" s="80">
        <f>IF(B131="","",IFERROR(INDEX('食材の単価'!$G$5:$G$204,MATCH(B131,'食材の単価'!$A$5:$A$204,0)),""))</f>
        <v/>
      </c>
      <c r="F131" s="78">
        <f>IF(AND(ISNUMBER(C131),ISNUMBER(E131)),C131*E131,"")</f>
        <v/>
      </c>
      <c r="G131" s="33" t="n"/>
      <c r="H131" s="34">
        <f>IF(COUNTA(A131:C131,G131)=0,"",IF(TRIM(A131)="","メニュー名がありません",IF(ISNA(MATCH(A131,'メニュー原価率'!$A$8:$A$107,0)),"メニュー原価率に無いメニューです",IF(TRIM(B131)="","食材名がありません",IF(ISNA(MATCH(B131,'食材の単価'!$A$5:$A$204,0)),"食材の単価に無い食材です",IF(NOT(ISNUMBER(C131)),"使用量がありません",IF(NOT(ISNUMBER(E131)),"食材の単価が出ていません（仕入価格・仕入量）","")))))))</f>
        <v/>
      </c>
    </row>
    <row r="132" ht="16" customHeight="1">
      <c r="A132" s="38" t="n"/>
      <c r="B132" s="38" t="n"/>
      <c r="C132" s="39" t="n"/>
      <c r="D132" s="53">
        <f>IF(B132="","",IFERROR(INDEX('食材の単価'!$D$5:$D$204,MATCH(B132,'食材の単価'!$A$5:$A$204,0))&amp;"",""))</f>
        <v/>
      </c>
      <c r="E132" s="80">
        <f>IF(B132="","",IFERROR(INDEX('食材の単価'!$G$5:$G$204,MATCH(B132,'食材の単価'!$A$5:$A$204,0)),""))</f>
        <v/>
      </c>
      <c r="F132" s="78">
        <f>IF(AND(ISNUMBER(C132),ISNUMBER(E132)),C132*E132,"")</f>
        <v/>
      </c>
      <c r="G132" s="33" t="n"/>
      <c r="H132" s="34">
        <f>IF(COUNTA(A132:C132,G132)=0,"",IF(TRIM(A132)="","メニュー名がありません",IF(ISNA(MATCH(A132,'メニュー原価率'!$A$8:$A$107,0)),"メニュー原価率に無いメニューです",IF(TRIM(B132)="","食材名がありません",IF(ISNA(MATCH(B132,'食材の単価'!$A$5:$A$204,0)),"食材の単価に無い食材です",IF(NOT(ISNUMBER(C132)),"使用量がありません",IF(NOT(ISNUMBER(E132)),"食材の単価が出ていません（仕入価格・仕入量）","")))))))</f>
        <v/>
      </c>
    </row>
    <row r="133" ht="16" customHeight="1">
      <c r="A133" s="38" t="n"/>
      <c r="B133" s="38" t="n"/>
      <c r="C133" s="39" t="n"/>
      <c r="D133" s="53">
        <f>IF(B133="","",IFERROR(INDEX('食材の単価'!$D$5:$D$204,MATCH(B133,'食材の単価'!$A$5:$A$204,0))&amp;"",""))</f>
        <v/>
      </c>
      <c r="E133" s="80">
        <f>IF(B133="","",IFERROR(INDEX('食材の単価'!$G$5:$G$204,MATCH(B133,'食材の単価'!$A$5:$A$204,0)),""))</f>
        <v/>
      </c>
      <c r="F133" s="78">
        <f>IF(AND(ISNUMBER(C133),ISNUMBER(E133)),C133*E133,"")</f>
        <v/>
      </c>
      <c r="G133" s="33" t="n"/>
      <c r="H133" s="34">
        <f>IF(COUNTA(A133:C133,G133)=0,"",IF(TRIM(A133)="","メニュー名がありません",IF(ISNA(MATCH(A133,'メニュー原価率'!$A$8:$A$107,0)),"メニュー原価率に無いメニューです",IF(TRIM(B133)="","食材名がありません",IF(ISNA(MATCH(B133,'食材の単価'!$A$5:$A$204,0)),"食材の単価に無い食材です",IF(NOT(ISNUMBER(C133)),"使用量がありません",IF(NOT(ISNUMBER(E133)),"食材の単価が出ていません（仕入価格・仕入量）","")))))))</f>
        <v/>
      </c>
    </row>
    <row r="134" ht="16" customHeight="1">
      <c r="A134" s="38" t="n"/>
      <c r="B134" s="38" t="n"/>
      <c r="C134" s="39" t="n"/>
      <c r="D134" s="53">
        <f>IF(B134="","",IFERROR(INDEX('食材の単価'!$D$5:$D$204,MATCH(B134,'食材の単価'!$A$5:$A$204,0))&amp;"",""))</f>
        <v/>
      </c>
      <c r="E134" s="80">
        <f>IF(B134="","",IFERROR(INDEX('食材の単価'!$G$5:$G$204,MATCH(B134,'食材の単価'!$A$5:$A$204,0)),""))</f>
        <v/>
      </c>
      <c r="F134" s="78">
        <f>IF(AND(ISNUMBER(C134),ISNUMBER(E134)),C134*E134,"")</f>
        <v/>
      </c>
      <c r="G134" s="33" t="n"/>
      <c r="H134" s="34">
        <f>IF(COUNTA(A134:C134,G134)=0,"",IF(TRIM(A134)="","メニュー名がありません",IF(ISNA(MATCH(A134,'メニュー原価率'!$A$8:$A$107,0)),"メニュー原価率に無いメニューです",IF(TRIM(B134)="","食材名がありません",IF(ISNA(MATCH(B134,'食材の単価'!$A$5:$A$204,0)),"食材の単価に無い食材です",IF(NOT(ISNUMBER(C134)),"使用量がありません",IF(NOT(ISNUMBER(E134)),"食材の単価が出ていません（仕入価格・仕入量）","")))))))</f>
        <v/>
      </c>
    </row>
    <row r="135" ht="16" customHeight="1">
      <c r="A135" s="38" t="n"/>
      <c r="B135" s="38" t="n"/>
      <c r="C135" s="39" t="n"/>
      <c r="D135" s="53">
        <f>IF(B135="","",IFERROR(INDEX('食材の単価'!$D$5:$D$204,MATCH(B135,'食材の単価'!$A$5:$A$204,0))&amp;"",""))</f>
        <v/>
      </c>
      <c r="E135" s="80">
        <f>IF(B135="","",IFERROR(INDEX('食材の単価'!$G$5:$G$204,MATCH(B135,'食材の単価'!$A$5:$A$204,0)),""))</f>
        <v/>
      </c>
      <c r="F135" s="78">
        <f>IF(AND(ISNUMBER(C135),ISNUMBER(E135)),C135*E135,"")</f>
        <v/>
      </c>
      <c r="G135" s="33" t="n"/>
      <c r="H135" s="34">
        <f>IF(COUNTA(A135:C135,G135)=0,"",IF(TRIM(A135)="","メニュー名がありません",IF(ISNA(MATCH(A135,'メニュー原価率'!$A$8:$A$107,0)),"メニュー原価率に無いメニューです",IF(TRIM(B135)="","食材名がありません",IF(ISNA(MATCH(B135,'食材の単価'!$A$5:$A$204,0)),"食材の単価に無い食材です",IF(NOT(ISNUMBER(C135)),"使用量がありません",IF(NOT(ISNUMBER(E135)),"食材の単価が出ていません（仕入価格・仕入量）","")))))))</f>
        <v/>
      </c>
    </row>
    <row r="136" ht="16" customHeight="1">
      <c r="A136" s="38" t="n"/>
      <c r="B136" s="38" t="n"/>
      <c r="C136" s="39" t="n"/>
      <c r="D136" s="53">
        <f>IF(B136="","",IFERROR(INDEX('食材の単価'!$D$5:$D$204,MATCH(B136,'食材の単価'!$A$5:$A$204,0))&amp;"",""))</f>
        <v/>
      </c>
      <c r="E136" s="80">
        <f>IF(B136="","",IFERROR(INDEX('食材の単価'!$G$5:$G$204,MATCH(B136,'食材の単価'!$A$5:$A$204,0)),""))</f>
        <v/>
      </c>
      <c r="F136" s="78">
        <f>IF(AND(ISNUMBER(C136),ISNUMBER(E136)),C136*E136,"")</f>
        <v/>
      </c>
      <c r="G136" s="33" t="n"/>
      <c r="H136" s="34">
        <f>IF(COUNTA(A136:C136,G136)=0,"",IF(TRIM(A136)="","メニュー名がありません",IF(ISNA(MATCH(A136,'メニュー原価率'!$A$8:$A$107,0)),"メニュー原価率に無いメニューです",IF(TRIM(B136)="","食材名がありません",IF(ISNA(MATCH(B136,'食材の単価'!$A$5:$A$204,0)),"食材の単価に無い食材です",IF(NOT(ISNUMBER(C136)),"使用量がありません",IF(NOT(ISNUMBER(E136)),"食材の単価が出ていません（仕入価格・仕入量）","")))))))</f>
        <v/>
      </c>
    </row>
    <row r="137" ht="16" customHeight="1">
      <c r="A137" s="38" t="n"/>
      <c r="B137" s="38" t="n"/>
      <c r="C137" s="39" t="n"/>
      <c r="D137" s="53">
        <f>IF(B137="","",IFERROR(INDEX('食材の単価'!$D$5:$D$204,MATCH(B137,'食材の単価'!$A$5:$A$204,0))&amp;"",""))</f>
        <v/>
      </c>
      <c r="E137" s="80">
        <f>IF(B137="","",IFERROR(INDEX('食材の単価'!$G$5:$G$204,MATCH(B137,'食材の単価'!$A$5:$A$204,0)),""))</f>
        <v/>
      </c>
      <c r="F137" s="78">
        <f>IF(AND(ISNUMBER(C137),ISNUMBER(E137)),C137*E137,"")</f>
        <v/>
      </c>
      <c r="G137" s="33" t="n"/>
      <c r="H137" s="34">
        <f>IF(COUNTA(A137:C137,G137)=0,"",IF(TRIM(A137)="","メニュー名がありません",IF(ISNA(MATCH(A137,'メニュー原価率'!$A$8:$A$107,0)),"メニュー原価率に無いメニューです",IF(TRIM(B137)="","食材名がありません",IF(ISNA(MATCH(B137,'食材の単価'!$A$5:$A$204,0)),"食材の単価に無い食材です",IF(NOT(ISNUMBER(C137)),"使用量がありません",IF(NOT(ISNUMBER(E137)),"食材の単価が出ていません（仕入価格・仕入量）","")))))))</f>
        <v/>
      </c>
    </row>
    <row r="138" ht="16" customHeight="1">
      <c r="A138" s="38" t="n"/>
      <c r="B138" s="38" t="n"/>
      <c r="C138" s="39" t="n"/>
      <c r="D138" s="53">
        <f>IF(B138="","",IFERROR(INDEX('食材の単価'!$D$5:$D$204,MATCH(B138,'食材の単価'!$A$5:$A$204,0))&amp;"",""))</f>
        <v/>
      </c>
      <c r="E138" s="80">
        <f>IF(B138="","",IFERROR(INDEX('食材の単価'!$G$5:$G$204,MATCH(B138,'食材の単価'!$A$5:$A$204,0)),""))</f>
        <v/>
      </c>
      <c r="F138" s="78">
        <f>IF(AND(ISNUMBER(C138),ISNUMBER(E138)),C138*E138,"")</f>
        <v/>
      </c>
      <c r="G138" s="33" t="n"/>
      <c r="H138" s="34">
        <f>IF(COUNTA(A138:C138,G138)=0,"",IF(TRIM(A138)="","メニュー名がありません",IF(ISNA(MATCH(A138,'メニュー原価率'!$A$8:$A$107,0)),"メニュー原価率に無いメニューです",IF(TRIM(B138)="","食材名がありません",IF(ISNA(MATCH(B138,'食材の単価'!$A$5:$A$204,0)),"食材の単価に無い食材です",IF(NOT(ISNUMBER(C138)),"使用量がありません",IF(NOT(ISNUMBER(E138)),"食材の単価が出ていません（仕入価格・仕入量）","")))))))</f>
        <v/>
      </c>
    </row>
    <row r="139" ht="16" customHeight="1">
      <c r="A139" s="38" t="n"/>
      <c r="B139" s="38" t="n"/>
      <c r="C139" s="39" t="n"/>
      <c r="D139" s="53">
        <f>IF(B139="","",IFERROR(INDEX('食材の単価'!$D$5:$D$204,MATCH(B139,'食材の単価'!$A$5:$A$204,0))&amp;"",""))</f>
        <v/>
      </c>
      <c r="E139" s="80">
        <f>IF(B139="","",IFERROR(INDEX('食材の単価'!$G$5:$G$204,MATCH(B139,'食材の単価'!$A$5:$A$204,0)),""))</f>
        <v/>
      </c>
      <c r="F139" s="78">
        <f>IF(AND(ISNUMBER(C139),ISNUMBER(E139)),C139*E139,"")</f>
        <v/>
      </c>
      <c r="G139" s="33" t="n"/>
      <c r="H139" s="34">
        <f>IF(COUNTA(A139:C139,G139)=0,"",IF(TRIM(A139)="","メニュー名がありません",IF(ISNA(MATCH(A139,'メニュー原価率'!$A$8:$A$107,0)),"メニュー原価率に無いメニューです",IF(TRIM(B139)="","食材名がありません",IF(ISNA(MATCH(B139,'食材の単価'!$A$5:$A$204,0)),"食材の単価に無い食材です",IF(NOT(ISNUMBER(C139)),"使用量がありません",IF(NOT(ISNUMBER(E139)),"食材の単価が出ていません（仕入価格・仕入量）","")))))))</f>
        <v/>
      </c>
    </row>
    <row r="140" ht="16" customHeight="1">
      <c r="A140" s="38" t="n"/>
      <c r="B140" s="38" t="n"/>
      <c r="C140" s="39" t="n"/>
      <c r="D140" s="53">
        <f>IF(B140="","",IFERROR(INDEX('食材の単価'!$D$5:$D$204,MATCH(B140,'食材の単価'!$A$5:$A$204,0))&amp;"",""))</f>
        <v/>
      </c>
      <c r="E140" s="80">
        <f>IF(B140="","",IFERROR(INDEX('食材の単価'!$G$5:$G$204,MATCH(B140,'食材の単価'!$A$5:$A$204,0)),""))</f>
        <v/>
      </c>
      <c r="F140" s="78">
        <f>IF(AND(ISNUMBER(C140),ISNUMBER(E140)),C140*E140,"")</f>
        <v/>
      </c>
      <c r="G140" s="33" t="n"/>
      <c r="H140" s="34">
        <f>IF(COUNTA(A140:C140,G140)=0,"",IF(TRIM(A140)="","メニュー名がありません",IF(ISNA(MATCH(A140,'メニュー原価率'!$A$8:$A$107,0)),"メニュー原価率に無いメニューです",IF(TRIM(B140)="","食材名がありません",IF(ISNA(MATCH(B140,'食材の単価'!$A$5:$A$204,0)),"食材の単価に無い食材です",IF(NOT(ISNUMBER(C140)),"使用量がありません",IF(NOT(ISNUMBER(E140)),"食材の単価が出ていません（仕入価格・仕入量）","")))))))</f>
        <v/>
      </c>
    </row>
    <row r="141" ht="16" customHeight="1">
      <c r="A141" s="38" t="n"/>
      <c r="B141" s="38" t="n"/>
      <c r="C141" s="39" t="n"/>
      <c r="D141" s="53">
        <f>IF(B141="","",IFERROR(INDEX('食材の単価'!$D$5:$D$204,MATCH(B141,'食材の単価'!$A$5:$A$204,0))&amp;"",""))</f>
        <v/>
      </c>
      <c r="E141" s="80">
        <f>IF(B141="","",IFERROR(INDEX('食材の単価'!$G$5:$G$204,MATCH(B141,'食材の単価'!$A$5:$A$204,0)),""))</f>
        <v/>
      </c>
      <c r="F141" s="78">
        <f>IF(AND(ISNUMBER(C141),ISNUMBER(E141)),C141*E141,"")</f>
        <v/>
      </c>
      <c r="G141" s="33" t="n"/>
      <c r="H141" s="34">
        <f>IF(COUNTA(A141:C141,G141)=0,"",IF(TRIM(A141)="","メニュー名がありません",IF(ISNA(MATCH(A141,'メニュー原価率'!$A$8:$A$107,0)),"メニュー原価率に無いメニューです",IF(TRIM(B141)="","食材名がありません",IF(ISNA(MATCH(B141,'食材の単価'!$A$5:$A$204,0)),"食材の単価に無い食材です",IF(NOT(ISNUMBER(C141)),"使用量がありません",IF(NOT(ISNUMBER(E141)),"食材の単価が出ていません（仕入価格・仕入量）","")))))))</f>
        <v/>
      </c>
    </row>
    <row r="142" ht="16" customHeight="1">
      <c r="A142" s="38" t="n"/>
      <c r="B142" s="38" t="n"/>
      <c r="C142" s="39" t="n"/>
      <c r="D142" s="53">
        <f>IF(B142="","",IFERROR(INDEX('食材の単価'!$D$5:$D$204,MATCH(B142,'食材の単価'!$A$5:$A$204,0))&amp;"",""))</f>
        <v/>
      </c>
      <c r="E142" s="80">
        <f>IF(B142="","",IFERROR(INDEX('食材の単価'!$G$5:$G$204,MATCH(B142,'食材の単価'!$A$5:$A$204,0)),""))</f>
        <v/>
      </c>
      <c r="F142" s="78">
        <f>IF(AND(ISNUMBER(C142),ISNUMBER(E142)),C142*E142,"")</f>
        <v/>
      </c>
      <c r="G142" s="33" t="n"/>
      <c r="H142" s="34">
        <f>IF(COUNTA(A142:C142,G142)=0,"",IF(TRIM(A142)="","メニュー名がありません",IF(ISNA(MATCH(A142,'メニュー原価率'!$A$8:$A$107,0)),"メニュー原価率に無いメニューです",IF(TRIM(B142)="","食材名がありません",IF(ISNA(MATCH(B142,'食材の単価'!$A$5:$A$204,0)),"食材の単価に無い食材です",IF(NOT(ISNUMBER(C142)),"使用量がありません",IF(NOT(ISNUMBER(E142)),"食材の単価が出ていません（仕入価格・仕入量）","")))))))</f>
        <v/>
      </c>
    </row>
    <row r="143" ht="16" customHeight="1">
      <c r="A143" s="38" t="n"/>
      <c r="B143" s="38" t="n"/>
      <c r="C143" s="39" t="n"/>
      <c r="D143" s="53">
        <f>IF(B143="","",IFERROR(INDEX('食材の単価'!$D$5:$D$204,MATCH(B143,'食材の単価'!$A$5:$A$204,0))&amp;"",""))</f>
        <v/>
      </c>
      <c r="E143" s="80">
        <f>IF(B143="","",IFERROR(INDEX('食材の単価'!$G$5:$G$204,MATCH(B143,'食材の単価'!$A$5:$A$204,0)),""))</f>
        <v/>
      </c>
      <c r="F143" s="78">
        <f>IF(AND(ISNUMBER(C143),ISNUMBER(E143)),C143*E143,"")</f>
        <v/>
      </c>
      <c r="G143" s="33" t="n"/>
      <c r="H143" s="34">
        <f>IF(COUNTA(A143:C143,G143)=0,"",IF(TRIM(A143)="","メニュー名がありません",IF(ISNA(MATCH(A143,'メニュー原価率'!$A$8:$A$107,0)),"メニュー原価率に無いメニューです",IF(TRIM(B143)="","食材名がありません",IF(ISNA(MATCH(B143,'食材の単価'!$A$5:$A$204,0)),"食材の単価に無い食材です",IF(NOT(ISNUMBER(C143)),"使用量がありません",IF(NOT(ISNUMBER(E143)),"食材の単価が出ていません（仕入価格・仕入量）","")))))))</f>
        <v/>
      </c>
    </row>
    <row r="144" ht="16" customHeight="1">
      <c r="A144" s="38" t="n"/>
      <c r="B144" s="38" t="n"/>
      <c r="C144" s="39" t="n"/>
      <c r="D144" s="53">
        <f>IF(B144="","",IFERROR(INDEX('食材の単価'!$D$5:$D$204,MATCH(B144,'食材の単価'!$A$5:$A$204,0))&amp;"",""))</f>
        <v/>
      </c>
      <c r="E144" s="80">
        <f>IF(B144="","",IFERROR(INDEX('食材の単価'!$G$5:$G$204,MATCH(B144,'食材の単価'!$A$5:$A$204,0)),""))</f>
        <v/>
      </c>
      <c r="F144" s="78">
        <f>IF(AND(ISNUMBER(C144),ISNUMBER(E144)),C144*E144,"")</f>
        <v/>
      </c>
      <c r="G144" s="33" t="n"/>
      <c r="H144" s="34">
        <f>IF(COUNTA(A144:C144,G144)=0,"",IF(TRIM(A144)="","メニュー名がありません",IF(ISNA(MATCH(A144,'メニュー原価率'!$A$8:$A$107,0)),"メニュー原価率に無いメニューです",IF(TRIM(B144)="","食材名がありません",IF(ISNA(MATCH(B144,'食材の単価'!$A$5:$A$204,0)),"食材の単価に無い食材です",IF(NOT(ISNUMBER(C144)),"使用量がありません",IF(NOT(ISNUMBER(E144)),"食材の単価が出ていません（仕入価格・仕入量）","")))))))</f>
        <v/>
      </c>
    </row>
    <row r="145" ht="16" customHeight="1">
      <c r="A145" s="38" t="n"/>
      <c r="B145" s="38" t="n"/>
      <c r="C145" s="39" t="n"/>
      <c r="D145" s="53">
        <f>IF(B145="","",IFERROR(INDEX('食材の単価'!$D$5:$D$204,MATCH(B145,'食材の単価'!$A$5:$A$204,0))&amp;"",""))</f>
        <v/>
      </c>
      <c r="E145" s="80">
        <f>IF(B145="","",IFERROR(INDEX('食材の単価'!$G$5:$G$204,MATCH(B145,'食材の単価'!$A$5:$A$204,0)),""))</f>
        <v/>
      </c>
      <c r="F145" s="78">
        <f>IF(AND(ISNUMBER(C145),ISNUMBER(E145)),C145*E145,"")</f>
        <v/>
      </c>
      <c r="G145" s="33" t="n"/>
      <c r="H145" s="34">
        <f>IF(COUNTA(A145:C145,G145)=0,"",IF(TRIM(A145)="","メニュー名がありません",IF(ISNA(MATCH(A145,'メニュー原価率'!$A$8:$A$107,0)),"メニュー原価率に無いメニューです",IF(TRIM(B145)="","食材名がありません",IF(ISNA(MATCH(B145,'食材の単価'!$A$5:$A$204,0)),"食材の単価に無い食材です",IF(NOT(ISNUMBER(C145)),"使用量がありません",IF(NOT(ISNUMBER(E145)),"食材の単価が出ていません（仕入価格・仕入量）","")))))))</f>
        <v/>
      </c>
    </row>
    <row r="146" ht="16" customHeight="1">
      <c r="A146" s="38" t="n"/>
      <c r="B146" s="38" t="n"/>
      <c r="C146" s="39" t="n"/>
      <c r="D146" s="53">
        <f>IF(B146="","",IFERROR(INDEX('食材の単価'!$D$5:$D$204,MATCH(B146,'食材の単価'!$A$5:$A$204,0))&amp;"",""))</f>
        <v/>
      </c>
      <c r="E146" s="80">
        <f>IF(B146="","",IFERROR(INDEX('食材の単価'!$G$5:$G$204,MATCH(B146,'食材の単価'!$A$5:$A$204,0)),""))</f>
        <v/>
      </c>
      <c r="F146" s="78">
        <f>IF(AND(ISNUMBER(C146),ISNUMBER(E146)),C146*E146,"")</f>
        <v/>
      </c>
      <c r="G146" s="33" t="n"/>
      <c r="H146" s="34">
        <f>IF(COUNTA(A146:C146,G146)=0,"",IF(TRIM(A146)="","メニュー名がありません",IF(ISNA(MATCH(A146,'メニュー原価率'!$A$8:$A$107,0)),"メニュー原価率に無いメニューです",IF(TRIM(B146)="","食材名がありません",IF(ISNA(MATCH(B146,'食材の単価'!$A$5:$A$204,0)),"食材の単価に無い食材です",IF(NOT(ISNUMBER(C146)),"使用量がありません",IF(NOT(ISNUMBER(E146)),"食材の単価が出ていません（仕入価格・仕入量）","")))))))</f>
        <v/>
      </c>
    </row>
    <row r="147" ht="16" customHeight="1">
      <c r="A147" s="38" t="n"/>
      <c r="B147" s="38" t="n"/>
      <c r="C147" s="39" t="n"/>
      <c r="D147" s="53">
        <f>IF(B147="","",IFERROR(INDEX('食材の単価'!$D$5:$D$204,MATCH(B147,'食材の単価'!$A$5:$A$204,0))&amp;"",""))</f>
        <v/>
      </c>
      <c r="E147" s="80">
        <f>IF(B147="","",IFERROR(INDEX('食材の単価'!$G$5:$G$204,MATCH(B147,'食材の単価'!$A$5:$A$204,0)),""))</f>
        <v/>
      </c>
      <c r="F147" s="78">
        <f>IF(AND(ISNUMBER(C147),ISNUMBER(E147)),C147*E147,"")</f>
        <v/>
      </c>
      <c r="G147" s="33" t="n"/>
      <c r="H147" s="34">
        <f>IF(COUNTA(A147:C147,G147)=0,"",IF(TRIM(A147)="","メニュー名がありません",IF(ISNA(MATCH(A147,'メニュー原価率'!$A$8:$A$107,0)),"メニュー原価率に無いメニューです",IF(TRIM(B147)="","食材名がありません",IF(ISNA(MATCH(B147,'食材の単価'!$A$5:$A$204,0)),"食材の単価に無い食材です",IF(NOT(ISNUMBER(C147)),"使用量がありません",IF(NOT(ISNUMBER(E147)),"食材の単価が出ていません（仕入価格・仕入量）","")))))))</f>
        <v/>
      </c>
    </row>
    <row r="148" ht="16" customHeight="1">
      <c r="A148" s="38" t="n"/>
      <c r="B148" s="38" t="n"/>
      <c r="C148" s="39" t="n"/>
      <c r="D148" s="53">
        <f>IF(B148="","",IFERROR(INDEX('食材の単価'!$D$5:$D$204,MATCH(B148,'食材の単価'!$A$5:$A$204,0))&amp;"",""))</f>
        <v/>
      </c>
      <c r="E148" s="80">
        <f>IF(B148="","",IFERROR(INDEX('食材の単価'!$G$5:$G$204,MATCH(B148,'食材の単価'!$A$5:$A$204,0)),""))</f>
        <v/>
      </c>
      <c r="F148" s="78">
        <f>IF(AND(ISNUMBER(C148),ISNUMBER(E148)),C148*E148,"")</f>
        <v/>
      </c>
      <c r="G148" s="33" t="n"/>
      <c r="H148" s="34">
        <f>IF(COUNTA(A148:C148,G148)=0,"",IF(TRIM(A148)="","メニュー名がありません",IF(ISNA(MATCH(A148,'メニュー原価率'!$A$8:$A$107,0)),"メニュー原価率に無いメニューです",IF(TRIM(B148)="","食材名がありません",IF(ISNA(MATCH(B148,'食材の単価'!$A$5:$A$204,0)),"食材の単価に無い食材です",IF(NOT(ISNUMBER(C148)),"使用量がありません",IF(NOT(ISNUMBER(E148)),"食材の単価が出ていません（仕入価格・仕入量）","")))))))</f>
        <v/>
      </c>
    </row>
    <row r="149" ht="16" customHeight="1">
      <c r="A149" s="38" t="n"/>
      <c r="B149" s="38" t="n"/>
      <c r="C149" s="39" t="n"/>
      <c r="D149" s="53">
        <f>IF(B149="","",IFERROR(INDEX('食材の単価'!$D$5:$D$204,MATCH(B149,'食材の単価'!$A$5:$A$204,0))&amp;"",""))</f>
        <v/>
      </c>
      <c r="E149" s="80">
        <f>IF(B149="","",IFERROR(INDEX('食材の単価'!$G$5:$G$204,MATCH(B149,'食材の単価'!$A$5:$A$204,0)),""))</f>
        <v/>
      </c>
      <c r="F149" s="78">
        <f>IF(AND(ISNUMBER(C149),ISNUMBER(E149)),C149*E149,"")</f>
        <v/>
      </c>
      <c r="G149" s="33" t="n"/>
      <c r="H149" s="34">
        <f>IF(COUNTA(A149:C149,G149)=0,"",IF(TRIM(A149)="","メニュー名がありません",IF(ISNA(MATCH(A149,'メニュー原価率'!$A$8:$A$107,0)),"メニュー原価率に無いメニューです",IF(TRIM(B149)="","食材名がありません",IF(ISNA(MATCH(B149,'食材の単価'!$A$5:$A$204,0)),"食材の単価に無い食材です",IF(NOT(ISNUMBER(C149)),"使用量がありません",IF(NOT(ISNUMBER(E149)),"食材の単価が出ていません（仕入価格・仕入量）","")))))))</f>
        <v/>
      </c>
    </row>
    <row r="150" ht="16" customHeight="1">
      <c r="A150" s="38" t="n"/>
      <c r="B150" s="38" t="n"/>
      <c r="C150" s="39" t="n"/>
      <c r="D150" s="53">
        <f>IF(B150="","",IFERROR(INDEX('食材の単価'!$D$5:$D$204,MATCH(B150,'食材の単価'!$A$5:$A$204,0))&amp;"",""))</f>
        <v/>
      </c>
      <c r="E150" s="80">
        <f>IF(B150="","",IFERROR(INDEX('食材の単価'!$G$5:$G$204,MATCH(B150,'食材の単価'!$A$5:$A$204,0)),""))</f>
        <v/>
      </c>
      <c r="F150" s="78">
        <f>IF(AND(ISNUMBER(C150),ISNUMBER(E150)),C150*E150,"")</f>
        <v/>
      </c>
      <c r="G150" s="33" t="n"/>
      <c r="H150" s="34">
        <f>IF(COUNTA(A150:C150,G150)=0,"",IF(TRIM(A150)="","メニュー名がありません",IF(ISNA(MATCH(A150,'メニュー原価率'!$A$8:$A$107,0)),"メニュー原価率に無いメニューです",IF(TRIM(B150)="","食材名がありません",IF(ISNA(MATCH(B150,'食材の単価'!$A$5:$A$204,0)),"食材の単価に無い食材です",IF(NOT(ISNUMBER(C150)),"使用量がありません",IF(NOT(ISNUMBER(E150)),"食材の単価が出ていません（仕入価格・仕入量）","")))))))</f>
        <v/>
      </c>
    </row>
    <row r="151" ht="16" customHeight="1">
      <c r="A151" s="38" t="n"/>
      <c r="B151" s="38" t="n"/>
      <c r="C151" s="39" t="n"/>
      <c r="D151" s="53">
        <f>IF(B151="","",IFERROR(INDEX('食材の単価'!$D$5:$D$204,MATCH(B151,'食材の単価'!$A$5:$A$204,0))&amp;"",""))</f>
        <v/>
      </c>
      <c r="E151" s="80">
        <f>IF(B151="","",IFERROR(INDEX('食材の単価'!$G$5:$G$204,MATCH(B151,'食材の単価'!$A$5:$A$204,0)),""))</f>
        <v/>
      </c>
      <c r="F151" s="78">
        <f>IF(AND(ISNUMBER(C151),ISNUMBER(E151)),C151*E151,"")</f>
        <v/>
      </c>
      <c r="G151" s="33" t="n"/>
      <c r="H151" s="34">
        <f>IF(COUNTA(A151:C151,G151)=0,"",IF(TRIM(A151)="","メニュー名がありません",IF(ISNA(MATCH(A151,'メニュー原価率'!$A$8:$A$107,0)),"メニュー原価率に無いメニューです",IF(TRIM(B151)="","食材名がありません",IF(ISNA(MATCH(B151,'食材の単価'!$A$5:$A$204,0)),"食材の単価に無い食材です",IF(NOT(ISNUMBER(C151)),"使用量がありません",IF(NOT(ISNUMBER(E151)),"食材の単価が出ていません（仕入価格・仕入量）","")))))))</f>
        <v/>
      </c>
    </row>
    <row r="152" ht="16" customHeight="1">
      <c r="A152" s="38" t="n"/>
      <c r="B152" s="38" t="n"/>
      <c r="C152" s="39" t="n"/>
      <c r="D152" s="53">
        <f>IF(B152="","",IFERROR(INDEX('食材の単価'!$D$5:$D$204,MATCH(B152,'食材の単価'!$A$5:$A$204,0))&amp;"",""))</f>
        <v/>
      </c>
      <c r="E152" s="80">
        <f>IF(B152="","",IFERROR(INDEX('食材の単価'!$G$5:$G$204,MATCH(B152,'食材の単価'!$A$5:$A$204,0)),""))</f>
        <v/>
      </c>
      <c r="F152" s="78">
        <f>IF(AND(ISNUMBER(C152),ISNUMBER(E152)),C152*E152,"")</f>
        <v/>
      </c>
      <c r="G152" s="33" t="n"/>
      <c r="H152" s="34">
        <f>IF(COUNTA(A152:C152,G152)=0,"",IF(TRIM(A152)="","メニュー名がありません",IF(ISNA(MATCH(A152,'メニュー原価率'!$A$8:$A$107,0)),"メニュー原価率に無いメニューです",IF(TRIM(B152)="","食材名がありません",IF(ISNA(MATCH(B152,'食材の単価'!$A$5:$A$204,0)),"食材の単価に無い食材です",IF(NOT(ISNUMBER(C152)),"使用量がありません",IF(NOT(ISNUMBER(E152)),"食材の単価が出ていません（仕入価格・仕入量）","")))))))</f>
        <v/>
      </c>
    </row>
    <row r="153" ht="16" customHeight="1">
      <c r="A153" s="38" t="n"/>
      <c r="B153" s="38" t="n"/>
      <c r="C153" s="39" t="n"/>
      <c r="D153" s="53">
        <f>IF(B153="","",IFERROR(INDEX('食材の単価'!$D$5:$D$204,MATCH(B153,'食材の単価'!$A$5:$A$204,0))&amp;"",""))</f>
        <v/>
      </c>
      <c r="E153" s="80">
        <f>IF(B153="","",IFERROR(INDEX('食材の単価'!$G$5:$G$204,MATCH(B153,'食材の単価'!$A$5:$A$204,0)),""))</f>
        <v/>
      </c>
      <c r="F153" s="78">
        <f>IF(AND(ISNUMBER(C153),ISNUMBER(E153)),C153*E153,"")</f>
        <v/>
      </c>
      <c r="G153" s="33" t="n"/>
      <c r="H153" s="34">
        <f>IF(COUNTA(A153:C153,G153)=0,"",IF(TRIM(A153)="","メニュー名がありません",IF(ISNA(MATCH(A153,'メニュー原価率'!$A$8:$A$107,0)),"メニュー原価率に無いメニューです",IF(TRIM(B153)="","食材名がありません",IF(ISNA(MATCH(B153,'食材の単価'!$A$5:$A$204,0)),"食材の単価に無い食材です",IF(NOT(ISNUMBER(C153)),"使用量がありません",IF(NOT(ISNUMBER(E153)),"食材の単価が出ていません（仕入価格・仕入量）","")))))))</f>
        <v/>
      </c>
    </row>
    <row r="154" ht="16" customHeight="1">
      <c r="A154" s="38" t="n"/>
      <c r="B154" s="38" t="n"/>
      <c r="C154" s="39" t="n"/>
      <c r="D154" s="53">
        <f>IF(B154="","",IFERROR(INDEX('食材の単価'!$D$5:$D$204,MATCH(B154,'食材の単価'!$A$5:$A$204,0))&amp;"",""))</f>
        <v/>
      </c>
      <c r="E154" s="80">
        <f>IF(B154="","",IFERROR(INDEX('食材の単価'!$G$5:$G$204,MATCH(B154,'食材の単価'!$A$5:$A$204,0)),""))</f>
        <v/>
      </c>
      <c r="F154" s="78">
        <f>IF(AND(ISNUMBER(C154),ISNUMBER(E154)),C154*E154,"")</f>
        <v/>
      </c>
      <c r="G154" s="33" t="n"/>
      <c r="H154" s="34">
        <f>IF(COUNTA(A154:C154,G154)=0,"",IF(TRIM(A154)="","メニュー名がありません",IF(ISNA(MATCH(A154,'メニュー原価率'!$A$8:$A$107,0)),"メニュー原価率に無いメニューです",IF(TRIM(B154)="","食材名がありません",IF(ISNA(MATCH(B154,'食材の単価'!$A$5:$A$204,0)),"食材の単価に無い食材です",IF(NOT(ISNUMBER(C154)),"使用量がありません",IF(NOT(ISNUMBER(E154)),"食材の単価が出ていません（仕入価格・仕入量）","")))))))</f>
        <v/>
      </c>
    </row>
    <row r="155" ht="16" customHeight="1">
      <c r="A155" s="38" t="n"/>
      <c r="B155" s="38" t="n"/>
      <c r="C155" s="39" t="n"/>
      <c r="D155" s="53">
        <f>IF(B155="","",IFERROR(INDEX('食材の単価'!$D$5:$D$204,MATCH(B155,'食材の単価'!$A$5:$A$204,0))&amp;"",""))</f>
        <v/>
      </c>
      <c r="E155" s="80">
        <f>IF(B155="","",IFERROR(INDEX('食材の単価'!$G$5:$G$204,MATCH(B155,'食材の単価'!$A$5:$A$204,0)),""))</f>
        <v/>
      </c>
      <c r="F155" s="78">
        <f>IF(AND(ISNUMBER(C155),ISNUMBER(E155)),C155*E155,"")</f>
        <v/>
      </c>
      <c r="G155" s="33" t="n"/>
      <c r="H155" s="34">
        <f>IF(COUNTA(A155:C155,G155)=0,"",IF(TRIM(A155)="","メニュー名がありません",IF(ISNA(MATCH(A155,'メニュー原価率'!$A$8:$A$107,0)),"メニュー原価率に無いメニューです",IF(TRIM(B155)="","食材名がありません",IF(ISNA(MATCH(B155,'食材の単価'!$A$5:$A$204,0)),"食材の単価に無い食材です",IF(NOT(ISNUMBER(C155)),"使用量がありません",IF(NOT(ISNUMBER(E155)),"食材の単価が出ていません（仕入価格・仕入量）","")))))))</f>
        <v/>
      </c>
    </row>
    <row r="156" ht="16" customHeight="1">
      <c r="A156" s="38" t="n"/>
      <c r="B156" s="38" t="n"/>
      <c r="C156" s="39" t="n"/>
      <c r="D156" s="53">
        <f>IF(B156="","",IFERROR(INDEX('食材の単価'!$D$5:$D$204,MATCH(B156,'食材の単価'!$A$5:$A$204,0))&amp;"",""))</f>
        <v/>
      </c>
      <c r="E156" s="80">
        <f>IF(B156="","",IFERROR(INDEX('食材の単価'!$G$5:$G$204,MATCH(B156,'食材の単価'!$A$5:$A$204,0)),""))</f>
        <v/>
      </c>
      <c r="F156" s="78">
        <f>IF(AND(ISNUMBER(C156),ISNUMBER(E156)),C156*E156,"")</f>
        <v/>
      </c>
      <c r="G156" s="33" t="n"/>
      <c r="H156" s="34">
        <f>IF(COUNTA(A156:C156,G156)=0,"",IF(TRIM(A156)="","メニュー名がありません",IF(ISNA(MATCH(A156,'メニュー原価率'!$A$8:$A$107,0)),"メニュー原価率に無いメニューです",IF(TRIM(B156)="","食材名がありません",IF(ISNA(MATCH(B156,'食材の単価'!$A$5:$A$204,0)),"食材の単価に無い食材です",IF(NOT(ISNUMBER(C156)),"使用量がありません",IF(NOT(ISNUMBER(E156)),"食材の単価が出ていません（仕入価格・仕入量）","")))))))</f>
        <v/>
      </c>
    </row>
    <row r="157" ht="16" customHeight="1">
      <c r="A157" s="38" t="n"/>
      <c r="B157" s="38" t="n"/>
      <c r="C157" s="39" t="n"/>
      <c r="D157" s="53">
        <f>IF(B157="","",IFERROR(INDEX('食材の単価'!$D$5:$D$204,MATCH(B157,'食材の単価'!$A$5:$A$204,0))&amp;"",""))</f>
        <v/>
      </c>
      <c r="E157" s="80">
        <f>IF(B157="","",IFERROR(INDEX('食材の単価'!$G$5:$G$204,MATCH(B157,'食材の単価'!$A$5:$A$204,0)),""))</f>
        <v/>
      </c>
      <c r="F157" s="78">
        <f>IF(AND(ISNUMBER(C157),ISNUMBER(E157)),C157*E157,"")</f>
        <v/>
      </c>
      <c r="G157" s="33" t="n"/>
      <c r="H157" s="34">
        <f>IF(COUNTA(A157:C157,G157)=0,"",IF(TRIM(A157)="","メニュー名がありません",IF(ISNA(MATCH(A157,'メニュー原価率'!$A$8:$A$107,0)),"メニュー原価率に無いメニューです",IF(TRIM(B157)="","食材名がありません",IF(ISNA(MATCH(B157,'食材の単価'!$A$5:$A$204,0)),"食材の単価に無い食材です",IF(NOT(ISNUMBER(C157)),"使用量がありません",IF(NOT(ISNUMBER(E157)),"食材の単価が出ていません（仕入価格・仕入量）","")))))))</f>
        <v/>
      </c>
    </row>
    <row r="158" ht="16" customHeight="1">
      <c r="A158" s="38" t="n"/>
      <c r="B158" s="38" t="n"/>
      <c r="C158" s="39" t="n"/>
      <c r="D158" s="53">
        <f>IF(B158="","",IFERROR(INDEX('食材の単価'!$D$5:$D$204,MATCH(B158,'食材の単価'!$A$5:$A$204,0))&amp;"",""))</f>
        <v/>
      </c>
      <c r="E158" s="80">
        <f>IF(B158="","",IFERROR(INDEX('食材の単価'!$G$5:$G$204,MATCH(B158,'食材の単価'!$A$5:$A$204,0)),""))</f>
        <v/>
      </c>
      <c r="F158" s="78">
        <f>IF(AND(ISNUMBER(C158),ISNUMBER(E158)),C158*E158,"")</f>
        <v/>
      </c>
      <c r="G158" s="33" t="n"/>
      <c r="H158" s="34">
        <f>IF(COUNTA(A158:C158,G158)=0,"",IF(TRIM(A158)="","メニュー名がありません",IF(ISNA(MATCH(A158,'メニュー原価率'!$A$8:$A$107,0)),"メニュー原価率に無いメニューです",IF(TRIM(B158)="","食材名がありません",IF(ISNA(MATCH(B158,'食材の単価'!$A$5:$A$204,0)),"食材の単価に無い食材です",IF(NOT(ISNUMBER(C158)),"使用量がありません",IF(NOT(ISNUMBER(E158)),"食材の単価が出ていません（仕入価格・仕入量）","")))))))</f>
        <v/>
      </c>
    </row>
    <row r="159" ht="16" customHeight="1">
      <c r="A159" s="38" t="n"/>
      <c r="B159" s="38" t="n"/>
      <c r="C159" s="39" t="n"/>
      <c r="D159" s="53">
        <f>IF(B159="","",IFERROR(INDEX('食材の単価'!$D$5:$D$204,MATCH(B159,'食材の単価'!$A$5:$A$204,0))&amp;"",""))</f>
        <v/>
      </c>
      <c r="E159" s="80">
        <f>IF(B159="","",IFERROR(INDEX('食材の単価'!$G$5:$G$204,MATCH(B159,'食材の単価'!$A$5:$A$204,0)),""))</f>
        <v/>
      </c>
      <c r="F159" s="78">
        <f>IF(AND(ISNUMBER(C159),ISNUMBER(E159)),C159*E159,"")</f>
        <v/>
      </c>
      <c r="G159" s="33" t="n"/>
      <c r="H159" s="34">
        <f>IF(COUNTA(A159:C159,G159)=0,"",IF(TRIM(A159)="","メニュー名がありません",IF(ISNA(MATCH(A159,'メニュー原価率'!$A$8:$A$107,0)),"メニュー原価率に無いメニューです",IF(TRIM(B159)="","食材名がありません",IF(ISNA(MATCH(B159,'食材の単価'!$A$5:$A$204,0)),"食材の単価に無い食材です",IF(NOT(ISNUMBER(C159)),"使用量がありません",IF(NOT(ISNUMBER(E159)),"食材の単価が出ていません（仕入価格・仕入量）","")))))))</f>
        <v/>
      </c>
    </row>
    <row r="160" ht="16" customHeight="1">
      <c r="A160" s="38" t="n"/>
      <c r="B160" s="38" t="n"/>
      <c r="C160" s="39" t="n"/>
      <c r="D160" s="53">
        <f>IF(B160="","",IFERROR(INDEX('食材の単価'!$D$5:$D$204,MATCH(B160,'食材の単価'!$A$5:$A$204,0))&amp;"",""))</f>
        <v/>
      </c>
      <c r="E160" s="80">
        <f>IF(B160="","",IFERROR(INDEX('食材の単価'!$G$5:$G$204,MATCH(B160,'食材の単価'!$A$5:$A$204,0)),""))</f>
        <v/>
      </c>
      <c r="F160" s="78">
        <f>IF(AND(ISNUMBER(C160),ISNUMBER(E160)),C160*E160,"")</f>
        <v/>
      </c>
      <c r="G160" s="33" t="n"/>
      <c r="H160" s="34">
        <f>IF(COUNTA(A160:C160,G160)=0,"",IF(TRIM(A160)="","メニュー名がありません",IF(ISNA(MATCH(A160,'メニュー原価率'!$A$8:$A$107,0)),"メニュー原価率に無いメニューです",IF(TRIM(B160)="","食材名がありません",IF(ISNA(MATCH(B160,'食材の単価'!$A$5:$A$204,0)),"食材の単価に無い食材です",IF(NOT(ISNUMBER(C160)),"使用量がありません",IF(NOT(ISNUMBER(E160)),"食材の単価が出ていません（仕入価格・仕入量）","")))))))</f>
        <v/>
      </c>
    </row>
    <row r="161" ht="16" customHeight="1">
      <c r="A161" s="38" t="n"/>
      <c r="B161" s="38" t="n"/>
      <c r="C161" s="39" t="n"/>
      <c r="D161" s="53">
        <f>IF(B161="","",IFERROR(INDEX('食材の単価'!$D$5:$D$204,MATCH(B161,'食材の単価'!$A$5:$A$204,0))&amp;"",""))</f>
        <v/>
      </c>
      <c r="E161" s="80">
        <f>IF(B161="","",IFERROR(INDEX('食材の単価'!$G$5:$G$204,MATCH(B161,'食材の単価'!$A$5:$A$204,0)),""))</f>
        <v/>
      </c>
      <c r="F161" s="78">
        <f>IF(AND(ISNUMBER(C161),ISNUMBER(E161)),C161*E161,"")</f>
        <v/>
      </c>
      <c r="G161" s="33" t="n"/>
      <c r="H161" s="34">
        <f>IF(COUNTA(A161:C161,G161)=0,"",IF(TRIM(A161)="","メニュー名がありません",IF(ISNA(MATCH(A161,'メニュー原価率'!$A$8:$A$107,0)),"メニュー原価率に無いメニューです",IF(TRIM(B161)="","食材名がありません",IF(ISNA(MATCH(B161,'食材の単価'!$A$5:$A$204,0)),"食材の単価に無い食材です",IF(NOT(ISNUMBER(C161)),"使用量がありません",IF(NOT(ISNUMBER(E161)),"食材の単価が出ていません（仕入価格・仕入量）","")))))))</f>
        <v/>
      </c>
    </row>
    <row r="162" ht="16" customHeight="1">
      <c r="A162" s="38" t="n"/>
      <c r="B162" s="38" t="n"/>
      <c r="C162" s="39" t="n"/>
      <c r="D162" s="53">
        <f>IF(B162="","",IFERROR(INDEX('食材の単価'!$D$5:$D$204,MATCH(B162,'食材の単価'!$A$5:$A$204,0))&amp;"",""))</f>
        <v/>
      </c>
      <c r="E162" s="80">
        <f>IF(B162="","",IFERROR(INDEX('食材の単価'!$G$5:$G$204,MATCH(B162,'食材の単価'!$A$5:$A$204,0)),""))</f>
        <v/>
      </c>
      <c r="F162" s="78">
        <f>IF(AND(ISNUMBER(C162),ISNUMBER(E162)),C162*E162,"")</f>
        <v/>
      </c>
      <c r="G162" s="33" t="n"/>
      <c r="H162" s="34">
        <f>IF(COUNTA(A162:C162,G162)=0,"",IF(TRIM(A162)="","メニュー名がありません",IF(ISNA(MATCH(A162,'メニュー原価率'!$A$8:$A$107,0)),"メニュー原価率に無いメニューです",IF(TRIM(B162)="","食材名がありません",IF(ISNA(MATCH(B162,'食材の単価'!$A$5:$A$204,0)),"食材の単価に無い食材です",IF(NOT(ISNUMBER(C162)),"使用量がありません",IF(NOT(ISNUMBER(E162)),"食材の単価が出ていません（仕入価格・仕入量）","")))))))</f>
        <v/>
      </c>
    </row>
    <row r="163" ht="16" customHeight="1">
      <c r="A163" s="38" t="n"/>
      <c r="B163" s="38" t="n"/>
      <c r="C163" s="39" t="n"/>
      <c r="D163" s="53">
        <f>IF(B163="","",IFERROR(INDEX('食材の単価'!$D$5:$D$204,MATCH(B163,'食材の単価'!$A$5:$A$204,0))&amp;"",""))</f>
        <v/>
      </c>
      <c r="E163" s="80">
        <f>IF(B163="","",IFERROR(INDEX('食材の単価'!$G$5:$G$204,MATCH(B163,'食材の単価'!$A$5:$A$204,0)),""))</f>
        <v/>
      </c>
      <c r="F163" s="78">
        <f>IF(AND(ISNUMBER(C163),ISNUMBER(E163)),C163*E163,"")</f>
        <v/>
      </c>
      <c r="G163" s="33" t="n"/>
      <c r="H163" s="34">
        <f>IF(COUNTA(A163:C163,G163)=0,"",IF(TRIM(A163)="","メニュー名がありません",IF(ISNA(MATCH(A163,'メニュー原価率'!$A$8:$A$107,0)),"メニュー原価率に無いメニューです",IF(TRIM(B163)="","食材名がありません",IF(ISNA(MATCH(B163,'食材の単価'!$A$5:$A$204,0)),"食材の単価に無い食材です",IF(NOT(ISNUMBER(C163)),"使用量がありません",IF(NOT(ISNUMBER(E163)),"食材の単価が出ていません（仕入価格・仕入量）","")))))))</f>
        <v/>
      </c>
    </row>
    <row r="164" ht="16" customHeight="1">
      <c r="A164" s="38" t="n"/>
      <c r="B164" s="38" t="n"/>
      <c r="C164" s="39" t="n"/>
      <c r="D164" s="53">
        <f>IF(B164="","",IFERROR(INDEX('食材の単価'!$D$5:$D$204,MATCH(B164,'食材の単価'!$A$5:$A$204,0))&amp;"",""))</f>
        <v/>
      </c>
      <c r="E164" s="80">
        <f>IF(B164="","",IFERROR(INDEX('食材の単価'!$G$5:$G$204,MATCH(B164,'食材の単価'!$A$5:$A$204,0)),""))</f>
        <v/>
      </c>
      <c r="F164" s="78">
        <f>IF(AND(ISNUMBER(C164),ISNUMBER(E164)),C164*E164,"")</f>
        <v/>
      </c>
      <c r="G164" s="33" t="n"/>
      <c r="H164" s="34">
        <f>IF(COUNTA(A164:C164,G164)=0,"",IF(TRIM(A164)="","メニュー名がありません",IF(ISNA(MATCH(A164,'メニュー原価率'!$A$8:$A$107,0)),"メニュー原価率に無いメニューです",IF(TRIM(B164)="","食材名がありません",IF(ISNA(MATCH(B164,'食材の単価'!$A$5:$A$204,0)),"食材の単価に無い食材です",IF(NOT(ISNUMBER(C164)),"使用量がありません",IF(NOT(ISNUMBER(E164)),"食材の単価が出ていません（仕入価格・仕入量）","")))))))</f>
        <v/>
      </c>
    </row>
    <row r="165" ht="16" customHeight="1">
      <c r="A165" s="38" t="n"/>
      <c r="B165" s="38" t="n"/>
      <c r="C165" s="39" t="n"/>
      <c r="D165" s="53">
        <f>IF(B165="","",IFERROR(INDEX('食材の単価'!$D$5:$D$204,MATCH(B165,'食材の単価'!$A$5:$A$204,0))&amp;"",""))</f>
        <v/>
      </c>
      <c r="E165" s="80">
        <f>IF(B165="","",IFERROR(INDEX('食材の単価'!$G$5:$G$204,MATCH(B165,'食材の単価'!$A$5:$A$204,0)),""))</f>
        <v/>
      </c>
      <c r="F165" s="78">
        <f>IF(AND(ISNUMBER(C165),ISNUMBER(E165)),C165*E165,"")</f>
        <v/>
      </c>
      <c r="G165" s="33" t="n"/>
      <c r="H165" s="34">
        <f>IF(COUNTA(A165:C165,G165)=0,"",IF(TRIM(A165)="","メニュー名がありません",IF(ISNA(MATCH(A165,'メニュー原価率'!$A$8:$A$107,0)),"メニュー原価率に無いメニューです",IF(TRIM(B165)="","食材名がありません",IF(ISNA(MATCH(B165,'食材の単価'!$A$5:$A$204,0)),"食材の単価に無い食材です",IF(NOT(ISNUMBER(C165)),"使用量がありません",IF(NOT(ISNUMBER(E165)),"食材の単価が出ていません（仕入価格・仕入量）","")))))))</f>
        <v/>
      </c>
    </row>
    <row r="166" ht="16" customHeight="1">
      <c r="A166" s="38" t="n"/>
      <c r="B166" s="38" t="n"/>
      <c r="C166" s="39" t="n"/>
      <c r="D166" s="53">
        <f>IF(B166="","",IFERROR(INDEX('食材の単価'!$D$5:$D$204,MATCH(B166,'食材の単価'!$A$5:$A$204,0))&amp;"",""))</f>
        <v/>
      </c>
      <c r="E166" s="80">
        <f>IF(B166="","",IFERROR(INDEX('食材の単価'!$G$5:$G$204,MATCH(B166,'食材の単価'!$A$5:$A$204,0)),""))</f>
        <v/>
      </c>
      <c r="F166" s="78">
        <f>IF(AND(ISNUMBER(C166),ISNUMBER(E166)),C166*E166,"")</f>
        <v/>
      </c>
      <c r="G166" s="33" t="n"/>
      <c r="H166" s="34">
        <f>IF(COUNTA(A166:C166,G166)=0,"",IF(TRIM(A166)="","メニュー名がありません",IF(ISNA(MATCH(A166,'メニュー原価率'!$A$8:$A$107,0)),"メニュー原価率に無いメニューです",IF(TRIM(B166)="","食材名がありません",IF(ISNA(MATCH(B166,'食材の単価'!$A$5:$A$204,0)),"食材の単価に無い食材です",IF(NOT(ISNUMBER(C166)),"使用量がありません",IF(NOT(ISNUMBER(E166)),"食材の単価が出ていません（仕入価格・仕入量）","")))))))</f>
        <v/>
      </c>
    </row>
    <row r="167" ht="16" customHeight="1">
      <c r="A167" s="38" t="n"/>
      <c r="B167" s="38" t="n"/>
      <c r="C167" s="39" t="n"/>
      <c r="D167" s="53">
        <f>IF(B167="","",IFERROR(INDEX('食材の単価'!$D$5:$D$204,MATCH(B167,'食材の単価'!$A$5:$A$204,0))&amp;"",""))</f>
        <v/>
      </c>
      <c r="E167" s="80">
        <f>IF(B167="","",IFERROR(INDEX('食材の単価'!$G$5:$G$204,MATCH(B167,'食材の単価'!$A$5:$A$204,0)),""))</f>
        <v/>
      </c>
      <c r="F167" s="78">
        <f>IF(AND(ISNUMBER(C167),ISNUMBER(E167)),C167*E167,"")</f>
        <v/>
      </c>
      <c r="G167" s="33" t="n"/>
      <c r="H167" s="34">
        <f>IF(COUNTA(A167:C167,G167)=0,"",IF(TRIM(A167)="","メニュー名がありません",IF(ISNA(MATCH(A167,'メニュー原価率'!$A$8:$A$107,0)),"メニュー原価率に無いメニューです",IF(TRIM(B167)="","食材名がありません",IF(ISNA(MATCH(B167,'食材の単価'!$A$5:$A$204,0)),"食材の単価に無い食材です",IF(NOT(ISNUMBER(C167)),"使用量がありません",IF(NOT(ISNUMBER(E167)),"食材の単価が出ていません（仕入価格・仕入量）","")))))))</f>
        <v/>
      </c>
    </row>
    <row r="168" ht="16" customHeight="1">
      <c r="A168" s="38" t="n"/>
      <c r="B168" s="38" t="n"/>
      <c r="C168" s="39" t="n"/>
      <c r="D168" s="53">
        <f>IF(B168="","",IFERROR(INDEX('食材の単価'!$D$5:$D$204,MATCH(B168,'食材の単価'!$A$5:$A$204,0))&amp;"",""))</f>
        <v/>
      </c>
      <c r="E168" s="80">
        <f>IF(B168="","",IFERROR(INDEX('食材の単価'!$G$5:$G$204,MATCH(B168,'食材の単価'!$A$5:$A$204,0)),""))</f>
        <v/>
      </c>
      <c r="F168" s="78">
        <f>IF(AND(ISNUMBER(C168),ISNUMBER(E168)),C168*E168,"")</f>
        <v/>
      </c>
      <c r="G168" s="33" t="n"/>
      <c r="H168" s="34">
        <f>IF(COUNTA(A168:C168,G168)=0,"",IF(TRIM(A168)="","メニュー名がありません",IF(ISNA(MATCH(A168,'メニュー原価率'!$A$8:$A$107,0)),"メニュー原価率に無いメニューです",IF(TRIM(B168)="","食材名がありません",IF(ISNA(MATCH(B168,'食材の単価'!$A$5:$A$204,0)),"食材の単価に無い食材です",IF(NOT(ISNUMBER(C168)),"使用量がありません",IF(NOT(ISNUMBER(E168)),"食材の単価が出ていません（仕入価格・仕入量）","")))))))</f>
        <v/>
      </c>
    </row>
    <row r="169" ht="16" customHeight="1">
      <c r="A169" s="38" t="n"/>
      <c r="B169" s="38" t="n"/>
      <c r="C169" s="39" t="n"/>
      <c r="D169" s="53">
        <f>IF(B169="","",IFERROR(INDEX('食材の単価'!$D$5:$D$204,MATCH(B169,'食材の単価'!$A$5:$A$204,0))&amp;"",""))</f>
        <v/>
      </c>
      <c r="E169" s="80">
        <f>IF(B169="","",IFERROR(INDEX('食材の単価'!$G$5:$G$204,MATCH(B169,'食材の単価'!$A$5:$A$204,0)),""))</f>
        <v/>
      </c>
      <c r="F169" s="78">
        <f>IF(AND(ISNUMBER(C169),ISNUMBER(E169)),C169*E169,"")</f>
        <v/>
      </c>
      <c r="G169" s="33" t="n"/>
      <c r="H169" s="34">
        <f>IF(COUNTA(A169:C169,G169)=0,"",IF(TRIM(A169)="","メニュー名がありません",IF(ISNA(MATCH(A169,'メニュー原価率'!$A$8:$A$107,0)),"メニュー原価率に無いメニューです",IF(TRIM(B169)="","食材名がありません",IF(ISNA(MATCH(B169,'食材の単価'!$A$5:$A$204,0)),"食材の単価に無い食材です",IF(NOT(ISNUMBER(C169)),"使用量がありません",IF(NOT(ISNUMBER(E169)),"食材の単価が出ていません（仕入価格・仕入量）","")))))))</f>
        <v/>
      </c>
    </row>
    <row r="170" ht="16" customHeight="1">
      <c r="A170" s="38" t="n"/>
      <c r="B170" s="38" t="n"/>
      <c r="C170" s="39" t="n"/>
      <c r="D170" s="53">
        <f>IF(B170="","",IFERROR(INDEX('食材の単価'!$D$5:$D$204,MATCH(B170,'食材の単価'!$A$5:$A$204,0))&amp;"",""))</f>
        <v/>
      </c>
      <c r="E170" s="80">
        <f>IF(B170="","",IFERROR(INDEX('食材の単価'!$G$5:$G$204,MATCH(B170,'食材の単価'!$A$5:$A$204,0)),""))</f>
        <v/>
      </c>
      <c r="F170" s="78">
        <f>IF(AND(ISNUMBER(C170),ISNUMBER(E170)),C170*E170,"")</f>
        <v/>
      </c>
      <c r="G170" s="33" t="n"/>
      <c r="H170" s="34">
        <f>IF(COUNTA(A170:C170,G170)=0,"",IF(TRIM(A170)="","メニュー名がありません",IF(ISNA(MATCH(A170,'メニュー原価率'!$A$8:$A$107,0)),"メニュー原価率に無いメニューです",IF(TRIM(B170)="","食材名がありません",IF(ISNA(MATCH(B170,'食材の単価'!$A$5:$A$204,0)),"食材の単価に無い食材です",IF(NOT(ISNUMBER(C170)),"使用量がありません",IF(NOT(ISNUMBER(E170)),"食材の単価が出ていません（仕入価格・仕入量）","")))))))</f>
        <v/>
      </c>
    </row>
    <row r="171" ht="16" customHeight="1">
      <c r="A171" s="38" t="n"/>
      <c r="B171" s="38" t="n"/>
      <c r="C171" s="39" t="n"/>
      <c r="D171" s="53">
        <f>IF(B171="","",IFERROR(INDEX('食材の単価'!$D$5:$D$204,MATCH(B171,'食材の単価'!$A$5:$A$204,0))&amp;"",""))</f>
        <v/>
      </c>
      <c r="E171" s="80">
        <f>IF(B171="","",IFERROR(INDEX('食材の単価'!$G$5:$G$204,MATCH(B171,'食材の単価'!$A$5:$A$204,0)),""))</f>
        <v/>
      </c>
      <c r="F171" s="78">
        <f>IF(AND(ISNUMBER(C171),ISNUMBER(E171)),C171*E171,"")</f>
        <v/>
      </c>
      <c r="G171" s="33" t="n"/>
      <c r="H171" s="34">
        <f>IF(COUNTA(A171:C171,G171)=0,"",IF(TRIM(A171)="","メニュー名がありません",IF(ISNA(MATCH(A171,'メニュー原価率'!$A$8:$A$107,0)),"メニュー原価率に無いメニューです",IF(TRIM(B171)="","食材名がありません",IF(ISNA(MATCH(B171,'食材の単価'!$A$5:$A$204,0)),"食材の単価に無い食材です",IF(NOT(ISNUMBER(C171)),"使用量がありません",IF(NOT(ISNUMBER(E171)),"食材の単価が出ていません（仕入価格・仕入量）","")))))))</f>
        <v/>
      </c>
    </row>
    <row r="172" ht="16" customHeight="1">
      <c r="A172" s="38" t="n"/>
      <c r="B172" s="38" t="n"/>
      <c r="C172" s="39" t="n"/>
      <c r="D172" s="53">
        <f>IF(B172="","",IFERROR(INDEX('食材の単価'!$D$5:$D$204,MATCH(B172,'食材の単価'!$A$5:$A$204,0))&amp;"",""))</f>
        <v/>
      </c>
      <c r="E172" s="80">
        <f>IF(B172="","",IFERROR(INDEX('食材の単価'!$G$5:$G$204,MATCH(B172,'食材の単価'!$A$5:$A$204,0)),""))</f>
        <v/>
      </c>
      <c r="F172" s="78">
        <f>IF(AND(ISNUMBER(C172),ISNUMBER(E172)),C172*E172,"")</f>
        <v/>
      </c>
      <c r="G172" s="33" t="n"/>
      <c r="H172" s="34">
        <f>IF(COUNTA(A172:C172,G172)=0,"",IF(TRIM(A172)="","メニュー名がありません",IF(ISNA(MATCH(A172,'メニュー原価率'!$A$8:$A$107,0)),"メニュー原価率に無いメニューです",IF(TRIM(B172)="","食材名がありません",IF(ISNA(MATCH(B172,'食材の単価'!$A$5:$A$204,0)),"食材の単価に無い食材です",IF(NOT(ISNUMBER(C172)),"使用量がありません",IF(NOT(ISNUMBER(E172)),"食材の単価が出ていません（仕入価格・仕入量）","")))))))</f>
        <v/>
      </c>
    </row>
    <row r="173" ht="16" customHeight="1">
      <c r="A173" s="38" t="n"/>
      <c r="B173" s="38" t="n"/>
      <c r="C173" s="39" t="n"/>
      <c r="D173" s="53">
        <f>IF(B173="","",IFERROR(INDEX('食材の単価'!$D$5:$D$204,MATCH(B173,'食材の単価'!$A$5:$A$204,0))&amp;"",""))</f>
        <v/>
      </c>
      <c r="E173" s="80">
        <f>IF(B173="","",IFERROR(INDEX('食材の単価'!$G$5:$G$204,MATCH(B173,'食材の単価'!$A$5:$A$204,0)),""))</f>
        <v/>
      </c>
      <c r="F173" s="78">
        <f>IF(AND(ISNUMBER(C173),ISNUMBER(E173)),C173*E173,"")</f>
        <v/>
      </c>
      <c r="G173" s="33" t="n"/>
      <c r="H173" s="34">
        <f>IF(COUNTA(A173:C173,G173)=0,"",IF(TRIM(A173)="","メニュー名がありません",IF(ISNA(MATCH(A173,'メニュー原価率'!$A$8:$A$107,0)),"メニュー原価率に無いメニューです",IF(TRIM(B173)="","食材名がありません",IF(ISNA(MATCH(B173,'食材の単価'!$A$5:$A$204,0)),"食材の単価に無い食材です",IF(NOT(ISNUMBER(C173)),"使用量がありません",IF(NOT(ISNUMBER(E173)),"食材の単価が出ていません（仕入価格・仕入量）","")))))))</f>
        <v/>
      </c>
    </row>
    <row r="174" ht="16" customHeight="1">
      <c r="A174" s="38" t="n"/>
      <c r="B174" s="38" t="n"/>
      <c r="C174" s="39" t="n"/>
      <c r="D174" s="53">
        <f>IF(B174="","",IFERROR(INDEX('食材の単価'!$D$5:$D$204,MATCH(B174,'食材の単価'!$A$5:$A$204,0))&amp;"",""))</f>
        <v/>
      </c>
      <c r="E174" s="80">
        <f>IF(B174="","",IFERROR(INDEX('食材の単価'!$G$5:$G$204,MATCH(B174,'食材の単価'!$A$5:$A$204,0)),""))</f>
        <v/>
      </c>
      <c r="F174" s="78">
        <f>IF(AND(ISNUMBER(C174),ISNUMBER(E174)),C174*E174,"")</f>
        <v/>
      </c>
      <c r="G174" s="33" t="n"/>
      <c r="H174" s="34">
        <f>IF(COUNTA(A174:C174,G174)=0,"",IF(TRIM(A174)="","メニュー名がありません",IF(ISNA(MATCH(A174,'メニュー原価率'!$A$8:$A$107,0)),"メニュー原価率に無いメニューです",IF(TRIM(B174)="","食材名がありません",IF(ISNA(MATCH(B174,'食材の単価'!$A$5:$A$204,0)),"食材の単価に無い食材です",IF(NOT(ISNUMBER(C174)),"使用量がありません",IF(NOT(ISNUMBER(E174)),"食材の単価が出ていません（仕入価格・仕入量）","")))))))</f>
        <v/>
      </c>
    </row>
    <row r="175" ht="16" customHeight="1">
      <c r="A175" s="38" t="n"/>
      <c r="B175" s="38" t="n"/>
      <c r="C175" s="39" t="n"/>
      <c r="D175" s="53">
        <f>IF(B175="","",IFERROR(INDEX('食材の単価'!$D$5:$D$204,MATCH(B175,'食材の単価'!$A$5:$A$204,0))&amp;"",""))</f>
        <v/>
      </c>
      <c r="E175" s="80">
        <f>IF(B175="","",IFERROR(INDEX('食材の単価'!$G$5:$G$204,MATCH(B175,'食材の単価'!$A$5:$A$204,0)),""))</f>
        <v/>
      </c>
      <c r="F175" s="78">
        <f>IF(AND(ISNUMBER(C175),ISNUMBER(E175)),C175*E175,"")</f>
        <v/>
      </c>
      <c r="G175" s="33" t="n"/>
      <c r="H175" s="34">
        <f>IF(COUNTA(A175:C175,G175)=0,"",IF(TRIM(A175)="","メニュー名がありません",IF(ISNA(MATCH(A175,'メニュー原価率'!$A$8:$A$107,0)),"メニュー原価率に無いメニューです",IF(TRIM(B175)="","食材名がありません",IF(ISNA(MATCH(B175,'食材の単価'!$A$5:$A$204,0)),"食材の単価に無い食材です",IF(NOT(ISNUMBER(C175)),"使用量がありません",IF(NOT(ISNUMBER(E175)),"食材の単価が出ていません（仕入価格・仕入量）","")))))))</f>
        <v/>
      </c>
    </row>
    <row r="176" ht="16" customHeight="1">
      <c r="A176" s="38" t="n"/>
      <c r="B176" s="38" t="n"/>
      <c r="C176" s="39" t="n"/>
      <c r="D176" s="53">
        <f>IF(B176="","",IFERROR(INDEX('食材の単価'!$D$5:$D$204,MATCH(B176,'食材の単価'!$A$5:$A$204,0))&amp;"",""))</f>
        <v/>
      </c>
      <c r="E176" s="80">
        <f>IF(B176="","",IFERROR(INDEX('食材の単価'!$G$5:$G$204,MATCH(B176,'食材の単価'!$A$5:$A$204,0)),""))</f>
        <v/>
      </c>
      <c r="F176" s="78">
        <f>IF(AND(ISNUMBER(C176),ISNUMBER(E176)),C176*E176,"")</f>
        <v/>
      </c>
      <c r="G176" s="33" t="n"/>
      <c r="H176" s="34">
        <f>IF(COUNTA(A176:C176,G176)=0,"",IF(TRIM(A176)="","メニュー名がありません",IF(ISNA(MATCH(A176,'メニュー原価率'!$A$8:$A$107,0)),"メニュー原価率に無いメニューです",IF(TRIM(B176)="","食材名がありません",IF(ISNA(MATCH(B176,'食材の単価'!$A$5:$A$204,0)),"食材の単価に無い食材です",IF(NOT(ISNUMBER(C176)),"使用量がありません",IF(NOT(ISNUMBER(E176)),"食材の単価が出ていません（仕入価格・仕入量）","")))))))</f>
        <v/>
      </c>
    </row>
    <row r="177" ht="16" customHeight="1">
      <c r="A177" s="38" t="n"/>
      <c r="B177" s="38" t="n"/>
      <c r="C177" s="39" t="n"/>
      <c r="D177" s="53">
        <f>IF(B177="","",IFERROR(INDEX('食材の単価'!$D$5:$D$204,MATCH(B177,'食材の単価'!$A$5:$A$204,0))&amp;"",""))</f>
        <v/>
      </c>
      <c r="E177" s="80">
        <f>IF(B177="","",IFERROR(INDEX('食材の単価'!$G$5:$G$204,MATCH(B177,'食材の単価'!$A$5:$A$204,0)),""))</f>
        <v/>
      </c>
      <c r="F177" s="78">
        <f>IF(AND(ISNUMBER(C177),ISNUMBER(E177)),C177*E177,"")</f>
        <v/>
      </c>
      <c r="G177" s="33" t="n"/>
      <c r="H177" s="34">
        <f>IF(COUNTA(A177:C177,G177)=0,"",IF(TRIM(A177)="","メニュー名がありません",IF(ISNA(MATCH(A177,'メニュー原価率'!$A$8:$A$107,0)),"メニュー原価率に無いメニューです",IF(TRIM(B177)="","食材名がありません",IF(ISNA(MATCH(B177,'食材の単価'!$A$5:$A$204,0)),"食材の単価に無い食材です",IF(NOT(ISNUMBER(C177)),"使用量がありません",IF(NOT(ISNUMBER(E177)),"食材の単価が出ていません（仕入価格・仕入量）","")))))))</f>
        <v/>
      </c>
    </row>
    <row r="178" ht="16" customHeight="1">
      <c r="A178" s="38" t="n"/>
      <c r="B178" s="38" t="n"/>
      <c r="C178" s="39" t="n"/>
      <c r="D178" s="53">
        <f>IF(B178="","",IFERROR(INDEX('食材の単価'!$D$5:$D$204,MATCH(B178,'食材の単価'!$A$5:$A$204,0))&amp;"",""))</f>
        <v/>
      </c>
      <c r="E178" s="80">
        <f>IF(B178="","",IFERROR(INDEX('食材の単価'!$G$5:$G$204,MATCH(B178,'食材の単価'!$A$5:$A$204,0)),""))</f>
        <v/>
      </c>
      <c r="F178" s="78">
        <f>IF(AND(ISNUMBER(C178),ISNUMBER(E178)),C178*E178,"")</f>
        <v/>
      </c>
      <c r="G178" s="33" t="n"/>
      <c r="H178" s="34">
        <f>IF(COUNTA(A178:C178,G178)=0,"",IF(TRIM(A178)="","メニュー名がありません",IF(ISNA(MATCH(A178,'メニュー原価率'!$A$8:$A$107,0)),"メニュー原価率に無いメニューです",IF(TRIM(B178)="","食材名がありません",IF(ISNA(MATCH(B178,'食材の単価'!$A$5:$A$204,0)),"食材の単価に無い食材です",IF(NOT(ISNUMBER(C178)),"使用量がありません",IF(NOT(ISNUMBER(E178)),"食材の単価が出ていません（仕入価格・仕入量）","")))))))</f>
        <v/>
      </c>
    </row>
    <row r="179" ht="16" customHeight="1">
      <c r="A179" s="38" t="n"/>
      <c r="B179" s="38" t="n"/>
      <c r="C179" s="39" t="n"/>
      <c r="D179" s="53">
        <f>IF(B179="","",IFERROR(INDEX('食材の単価'!$D$5:$D$204,MATCH(B179,'食材の単価'!$A$5:$A$204,0))&amp;"",""))</f>
        <v/>
      </c>
      <c r="E179" s="80">
        <f>IF(B179="","",IFERROR(INDEX('食材の単価'!$G$5:$G$204,MATCH(B179,'食材の単価'!$A$5:$A$204,0)),""))</f>
        <v/>
      </c>
      <c r="F179" s="78">
        <f>IF(AND(ISNUMBER(C179),ISNUMBER(E179)),C179*E179,"")</f>
        <v/>
      </c>
      <c r="G179" s="33" t="n"/>
      <c r="H179" s="34">
        <f>IF(COUNTA(A179:C179,G179)=0,"",IF(TRIM(A179)="","メニュー名がありません",IF(ISNA(MATCH(A179,'メニュー原価率'!$A$8:$A$107,0)),"メニュー原価率に無いメニューです",IF(TRIM(B179)="","食材名がありません",IF(ISNA(MATCH(B179,'食材の単価'!$A$5:$A$204,0)),"食材の単価に無い食材です",IF(NOT(ISNUMBER(C179)),"使用量がありません",IF(NOT(ISNUMBER(E179)),"食材の単価が出ていません（仕入価格・仕入量）","")))))))</f>
        <v/>
      </c>
    </row>
    <row r="180" ht="16" customHeight="1">
      <c r="A180" s="38" t="n"/>
      <c r="B180" s="38" t="n"/>
      <c r="C180" s="39" t="n"/>
      <c r="D180" s="53">
        <f>IF(B180="","",IFERROR(INDEX('食材の単価'!$D$5:$D$204,MATCH(B180,'食材の単価'!$A$5:$A$204,0))&amp;"",""))</f>
        <v/>
      </c>
      <c r="E180" s="80">
        <f>IF(B180="","",IFERROR(INDEX('食材の単価'!$G$5:$G$204,MATCH(B180,'食材の単価'!$A$5:$A$204,0)),""))</f>
        <v/>
      </c>
      <c r="F180" s="78">
        <f>IF(AND(ISNUMBER(C180),ISNUMBER(E180)),C180*E180,"")</f>
        <v/>
      </c>
      <c r="G180" s="33" t="n"/>
      <c r="H180" s="34">
        <f>IF(COUNTA(A180:C180,G180)=0,"",IF(TRIM(A180)="","メニュー名がありません",IF(ISNA(MATCH(A180,'メニュー原価率'!$A$8:$A$107,0)),"メニュー原価率に無いメニューです",IF(TRIM(B180)="","食材名がありません",IF(ISNA(MATCH(B180,'食材の単価'!$A$5:$A$204,0)),"食材の単価に無い食材です",IF(NOT(ISNUMBER(C180)),"使用量がありません",IF(NOT(ISNUMBER(E180)),"食材の単価が出ていません（仕入価格・仕入量）","")))))))</f>
        <v/>
      </c>
    </row>
    <row r="181" ht="16" customHeight="1">
      <c r="A181" s="38" t="n"/>
      <c r="B181" s="38" t="n"/>
      <c r="C181" s="39" t="n"/>
      <c r="D181" s="53">
        <f>IF(B181="","",IFERROR(INDEX('食材の単価'!$D$5:$D$204,MATCH(B181,'食材の単価'!$A$5:$A$204,0))&amp;"",""))</f>
        <v/>
      </c>
      <c r="E181" s="80">
        <f>IF(B181="","",IFERROR(INDEX('食材の単価'!$G$5:$G$204,MATCH(B181,'食材の単価'!$A$5:$A$204,0)),""))</f>
        <v/>
      </c>
      <c r="F181" s="78">
        <f>IF(AND(ISNUMBER(C181),ISNUMBER(E181)),C181*E181,"")</f>
        <v/>
      </c>
      <c r="G181" s="33" t="n"/>
      <c r="H181" s="34">
        <f>IF(COUNTA(A181:C181,G181)=0,"",IF(TRIM(A181)="","メニュー名がありません",IF(ISNA(MATCH(A181,'メニュー原価率'!$A$8:$A$107,0)),"メニュー原価率に無いメニューです",IF(TRIM(B181)="","食材名がありません",IF(ISNA(MATCH(B181,'食材の単価'!$A$5:$A$204,0)),"食材の単価に無い食材です",IF(NOT(ISNUMBER(C181)),"使用量がありません",IF(NOT(ISNUMBER(E181)),"食材の単価が出ていません（仕入価格・仕入量）","")))))))</f>
        <v/>
      </c>
    </row>
    <row r="182" ht="16" customHeight="1">
      <c r="A182" s="38" t="n"/>
      <c r="B182" s="38" t="n"/>
      <c r="C182" s="39" t="n"/>
      <c r="D182" s="53">
        <f>IF(B182="","",IFERROR(INDEX('食材の単価'!$D$5:$D$204,MATCH(B182,'食材の単価'!$A$5:$A$204,0))&amp;"",""))</f>
        <v/>
      </c>
      <c r="E182" s="80">
        <f>IF(B182="","",IFERROR(INDEX('食材の単価'!$G$5:$G$204,MATCH(B182,'食材の単価'!$A$5:$A$204,0)),""))</f>
        <v/>
      </c>
      <c r="F182" s="78">
        <f>IF(AND(ISNUMBER(C182),ISNUMBER(E182)),C182*E182,"")</f>
        <v/>
      </c>
      <c r="G182" s="33" t="n"/>
      <c r="H182" s="34">
        <f>IF(COUNTA(A182:C182,G182)=0,"",IF(TRIM(A182)="","メニュー名がありません",IF(ISNA(MATCH(A182,'メニュー原価率'!$A$8:$A$107,0)),"メニュー原価率に無いメニューです",IF(TRIM(B182)="","食材名がありません",IF(ISNA(MATCH(B182,'食材の単価'!$A$5:$A$204,0)),"食材の単価に無い食材です",IF(NOT(ISNUMBER(C182)),"使用量がありません",IF(NOT(ISNUMBER(E182)),"食材の単価が出ていません（仕入価格・仕入量）","")))))))</f>
        <v/>
      </c>
    </row>
    <row r="183" ht="16" customHeight="1">
      <c r="A183" s="38" t="n"/>
      <c r="B183" s="38" t="n"/>
      <c r="C183" s="39" t="n"/>
      <c r="D183" s="53">
        <f>IF(B183="","",IFERROR(INDEX('食材の単価'!$D$5:$D$204,MATCH(B183,'食材の単価'!$A$5:$A$204,0))&amp;"",""))</f>
        <v/>
      </c>
      <c r="E183" s="80">
        <f>IF(B183="","",IFERROR(INDEX('食材の単価'!$G$5:$G$204,MATCH(B183,'食材の単価'!$A$5:$A$204,0)),""))</f>
        <v/>
      </c>
      <c r="F183" s="78">
        <f>IF(AND(ISNUMBER(C183),ISNUMBER(E183)),C183*E183,"")</f>
        <v/>
      </c>
      <c r="G183" s="33" t="n"/>
      <c r="H183" s="34">
        <f>IF(COUNTA(A183:C183,G183)=0,"",IF(TRIM(A183)="","メニュー名がありません",IF(ISNA(MATCH(A183,'メニュー原価率'!$A$8:$A$107,0)),"メニュー原価率に無いメニューです",IF(TRIM(B183)="","食材名がありません",IF(ISNA(MATCH(B183,'食材の単価'!$A$5:$A$204,0)),"食材の単価に無い食材です",IF(NOT(ISNUMBER(C183)),"使用量がありません",IF(NOT(ISNUMBER(E183)),"食材の単価が出ていません（仕入価格・仕入量）","")))))))</f>
        <v/>
      </c>
    </row>
    <row r="184" ht="16" customHeight="1">
      <c r="A184" s="38" t="n"/>
      <c r="B184" s="38" t="n"/>
      <c r="C184" s="39" t="n"/>
      <c r="D184" s="53">
        <f>IF(B184="","",IFERROR(INDEX('食材の単価'!$D$5:$D$204,MATCH(B184,'食材の単価'!$A$5:$A$204,0))&amp;"",""))</f>
        <v/>
      </c>
      <c r="E184" s="80">
        <f>IF(B184="","",IFERROR(INDEX('食材の単価'!$G$5:$G$204,MATCH(B184,'食材の単価'!$A$5:$A$204,0)),""))</f>
        <v/>
      </c>
      <c r="F184" s="78">
        <f>IF(AND(ISNUMBER(C184),ISNUMBER(E184)),C184*E184,"")</f>
        <v/>
      </c>
      <c r="G184" s="33" t="n"/>
      <c r="H184" s="34">
        <f>IF(COUNTA(A184:C184,G184)=0,"",IF(TRIM(A184)="","メニュー名がありません",IF(ISNA(MATCH(A184,'メニュー原価率'!$A$8:$A$107,0)),"メニュー原価率に無いメニューです",IF(TRIM(B184)="","食材名がありません",IF(ISNA(MATCH(B184,'食材の単価'!$A$5:$A$204,0)),"食材の単価に無い食材です",IF(NOT(ISNUMBER(C184)),"使用量がありません",IF(NOT(ISNUMBER(E184)),"食材の単価が出ていません（仕入価格・仕入量）","")))))))</f>
        <v/>
      </c>
    </row>
    <row r="185" ht="16" customHeight="1">
      <c r="A185" s="38" t="n"/>
      <c r="B185" s="38" t="n"/>
      <c r="C185" s="39" t="n"/>
      <c r="D185" s="53">
        <f>IF(B185="","",IFERROR(INDEX('食材の単価'!$D$5:$D$204,MATCH(B185,'食材の単価'!$A$5:$A$204,0))&amp;"",""))</f>
        <v/>
      </c>
      <c r="E185" s="80">
        <f>IF(B185="","",IFERROR(INDEX('食材の単価'!$G$5:$G$204,MATCH(B185,'食材の単価'!$A$5:$A$204,0)),""))</f>
        <v/>
      </c>
      <c r="F185" s="78">
        <f>IF(AND(ISNUMBER(C185),ISNUMBER(E185)),C185*E185,"")</f>
        <v/>
      </c>
      <c r="G185" s="33" t="n"/>
      <c r="H185" s="34">
        <f>IF(COUNTA(A185:C185,G185)=0,"",IF(TRIM(A185)="","メニュー名がありません",IF(ISNA(MATCH(A185,'メニュー原価率'!$A$8:$A$107,0)),"メニュー原価率に無いメニューです",IF(TRIM(B185)="","食材名がありません",IF(ISNA(MATCH(B185,'食材の単価'!$A$5:$A$204,0)),"食材の単価に無い食材です",IF(NOT(ISNUMBER(C185)),"使用量がありません",IF(NOT(ISNUMBER(E185)),"食材の単価が出ていません（仕入価格・仕入量）","")))))))</f>
        <v/>
      </c>
    </row>
    <row r="186" ht="16" customHeight="1">
      <c r="A186" s="38" t="n"/>
      <c r="B186" s="38" t="n"/>
      <c r="C186" s="39" t="n"/>
      <c r="D186" s="53">
        <f>IF(B186="","",IFERROR(INDEX('食材の単価'!$D$5:$D$204,MATCH(B186,'食材の単価'!$A$5:$A$204,0))&amp;"",""))</f>
        <v/>
      </c>
      <c r="E186" s="80">
        <f>IF(B186="","",IFERROR(INDEX('食材の単価'!$G$5:$G$204,MATCH(B186,'食材の単価'!$A$5:$A$204,0)),""))</f>
        <v/>
      </c>
      <c r="F186" s="78">
        <f>IF(AND(ISNUMBER(C186),ISNUMBER(E186)),C186*E186,"")</f>
        <v/>
      </c>
      <c r="G186" s="33" t="n"/>
      <c r="H186" s="34">
        <f>IF(COUNTA(A186:C186,G186)=0,"",IF(TRIM(A186)="","メニュー名がありません",IF(ISNA(MATCH(A186,'メニュー原価率'!$A$8:$A$107,0)),"メニュー原価率に無いメニューです",IF(TRIM(B186)="","食材名がありません",IF(ISNA(MATCH(B186,'食材の単価'!$A$5:$A$204,0)),"食材の単価に無い食材です",IF(NOT(ISNUMBER(C186)),"使用量がありません",IF(NOT(ISNUMBER(E186)),"食材の単価が出ていません（仕入価格・仕入量）","")))))))</f>
        <v/>
      </c>
    </row>
    <row r="187" ht="16" customHeight="1">
      <c r="A187" s="38" t="n"/>
      <c r="B187" s="38" t="n"/>
      <c r="C187" s="39" t="n"/>
      <c r="D187" s="53">
        <f>IF(B187="","",IFERROR(INDEX('食材の単価'!$D$5:$D$204,MATCH(B187,'食材の単価'!$A$5:$A$204,0))&amp;"",""))</f>
        <v/>
      </c>
      <c r="E187" s="80">
        <f>IF(B187="","",IFERROR(INDEX('食材の単価'!$G$5:$G$204,MATCH(B187,'食材の単価'!$A$5:$A$204,0)),""))</f>
        <v/>
      </c>
      <c r="F187" s="78">
        <f>IF(AND(ISNUMBER(C187),ISNUMBER(E187)),C187*E187,"")</f>
        <v/>
      </c>
      <c r="G187" s="33" t="n"/>
      <c r="H187" s="34">
        <f>IF(COUNTA(A187:C187,G187)=0,"",IF(TRIM(A187)="","メニュー名がありません",IF(ISNA(MATCH(A187,'メニュー原価率'!$A$8:$A$107,0)),"メニュー原価率に無いメニューです",IF(TRIM(B187)="","食材名がありません",IF(ISNA(MATCH(B187,'食材の単価'!$A$5:$A$204,0)),"食材の単価に無い食材です",IF(NOT(ISNUMBER(C187)),"使用量がありません",IF(NOT(ISNUMBER(E187)),"食材の単価が出ていません（仕入価格・仕入量）","")))))))</f>
        <v/>
      </c>
    </row>
    <row r="188" ht="16" customHeight="1">
      <c r="A188" s="38" t="n"/>
      <c r="B188" s="38" t="n"/>
      <c r="C188" s="39" t="n"/>
      <c r="D188" s="53">
        <f>IF(B188="","",IFERROR(INDEX('食材の単価'!$D$5:$D$204,MATCH(B188,'食材の単価'!$A$5:$A$204,0))&amp;"",""))</f>
        <v/>
      </c>
      <c r="E188" s="80">
        <f>IF(B188="","",IFERROR(INDEX('食材の単価'!$G$5:$G$204,MATCH(B188,'食材の単価'!$A$5:$A$204,0)),""))</f>
        <v/>
      </c>
      <c r="F188" s="78">
        <f>IF(AND(ISNUMBER(C188),ISNUMBER(E188)),C188*E188,"")</f>
        <v/>
      </c>
      <c r="G188" s="33" t="n"/>
      <c r="H188" s="34">
        <f>IF(COUNTA(A188:C188,G188)=0,"",IF(TRIM(A188)="","メニュー名がありません",IF(ISNA(MATCH(A188,'メニュー原価率'!$A$8:$A$107,0)),"メニュー原価率に無いメニューです",IF(TRIM(B188)="","食材名がありません",IF(ISNA(MATCH(B188,'食材の単価'!$A$5:$A$204,0)),"食材の単価に無い食材です",IF(NOT(ISNUMBER(C188)),"使用量がありません",IF(NOT(ISNUMBER(E188)),"食材の単価が出ていません（仕入価格・仕入量）","")))))))</f>
        <v/>
      </c>
    </row>
    <row r="189" ht="16" customHeight="1">
      <c r="A189" s="38" t="n"/>
      <c r="B189" s="38" t="n"/>
      <c r="C189" s="39" t="n"/>
      <c r="D189" s="53">
        <f>IF(B189="","",IFERROR(INDEX('食材の単価'!$D$5:$D$204,MATCH(B189,'食材の単価'!$A$5:$A$204,0))&amp;"",""))</f>
        <v/>
      </c>
      <c r="E189" s="80">
        <f>IF(B189="","",IFERROR(INDEX('食材の単価'!$G$5:$G$204,MATCH(B189,'食材の単価'!$A$5:$A$204,0)),""))</f>
        <v/>
      </c>
      <c r="F189" s="78">
        <f>IF(AND(ISNUMBER(C189),ISNUMBER(E189)),C189*E189,"")</f>
        <v/>
      </c>
      <c r="G189" s="33" t="n"/>
      <c r="H189" s="34">
        <f>IF(COUNTA(A189:C189,G189)=0,"",IF(TRIM(A189)="","メニュー名がありません",IF(ISNA(MATCH(A189,'メニュー原価率'!$A$8:$A$107,0)),"メニュー原価率に無いメニューです",IF(TRIM(B189)="","食材名がありません",IF(ISNA(MATCH(B189,'食材の単価'!$A$5:$A$204,0)),"食材の単価に無い食材です",IF(NOT(ISNUMBER(C189)),"使用量がありません",IF(NOT(ISNUMBER(E189)),"食材の単価が出ていません（仕入価格・仕入量）","")))))))</f>
        <v/>
      </c>
    </row>
    <row r="190" ht="16" customHeight="1">
      <c r="A190" s="38" t="n"/>
      <c r="B190" s="38" t="n"/>
      <c r="C190" s="39" t="n"/>
      <c r="D190" s="53">
        <f>IF(B190="","",IFERROR(INDEX('食材の単価'!$D$5:$D$204,MATCH(B190,'食材の単価'!$A$5:$A$204,0))&amp;"",""))</f>
        <v/>
      </c>
      <c r="E190" s="80">
        <f>IF(B190="","",IFERROR(INDEX('食材の単価'!$G$5:$G$204,MATCH(B190,'食材の単価'!$A$5:$A$204,0)),""))</f>
        <v/>
      </c>
      <c r="F190" s="78">
        <f>IF(AND(ISNUMBER(C190),ISNUMBER(E190)),C190*E190,"")</f>
        <v/>
      </c>
      <c r="G190" s="33" t="n"/>
      <c r="H190" s="34">
        <f>IF(COUNTA(A190:C190,G190)=0,"",IF(TRIM(A190)="","メニュー名がありません",IF(ISNA(MATCH(A190,'メニュー原価率'!$A$8:$A$107,0)),"メニュー原価率に無いメニューです",IF(TRIM(B190)="","食材名がありません",IF(ISNA(MATCH(B190,'食材の単価'!$A$5:$A$204,0)),"食材の単価に無い食材です",IF(NOT(ISNUMBER(C190)),"使用量がありません",IF(NOT(ISNUMBER(E190)),"食材の単価が出ていません（仕入価格・仕入量）","")))))))</f>
        <v/>
      </c>
    </row>
    <row r="191" ht="16" customHeight="1">
      <c r="A191" s="38" t="n"/>
      <c r="B191" s="38" t="n"/>
      <c r="C191" s="39" t="n"/>
      <c r="D191" s="53">
        <f>IF(B191="","",IFERROR(INDEX('食材の単価'!$D$5:$D$204,MATCH(B191,'食材の単価'!$A$5:$A$204,0))&amp;"",""))</f>
        <v/>
      </c>
      <c r="E191" s="80">
        <f>IF(B191="","",IFERROR(INDEX('食材の単価'!$G$5:$G$204,MATCH(B191,'食材の単価'!$A$5:$A$204,0)),""))</f>
        <v/>
      </c>
      <c r="F191" s="78">
        <f>IF(AND(ISNUMBER(C191),ISNUMBER(E191)),C191*E191,"")</f>
        <v/>
      </c>
      <c r="G191" s="33" t="n"/>
      <c r="H191" s="34">
        <f>IF(COUNTA(A191:C191,G191)=0,"",IF(TRIM(A191)="","メニュー名がありません",IF(ISNA(MATCH(A191,'メニュー原価率'!$A$8:$A$107,0)),"メニュー原価率に無いメニューです",IF(TRIM(B191)="","食材名がありません",IF(ISNA(MATCH(B191,'食材の単価'!$A$5:$A$204,0)),"食材の単価に無い食材です",IF(NOT(ISNUMBER(C191)),"使用量がありません",IF(NOT(ISNUMBER(E191)),"食材の単価が出ていません（仕入価格・仕入量）","")))))))</f>
        <v/>
      </c>
    </row>
    <row r="192" ht="16" customHeight="1">
      <c r="A192" s="38" t="n"/>
      <c r="B192" s="38" t="n"/>
      <c r="C192" s="39" t="n"/>
      <c r="D192" s="53">
        <f>IF(B192="","",IFERROR(INDEX('食材の単価'!$D$5:$D$204,MATCH(B192,'食材の単価'!$A$5:$A$204,0))&amp;"",""))</f>
        <v/>
      </c>
      <c r="E192" s="80">
        <f>IF(B192="","",IFERROR(INDEX('食材の単価'!$G$5:$G$204,MATCH(B192,'食材の単価'!$A$5:$A$204,0)),""))</f>
        <v/>
      </c>
      <c r="F192" s="78">
        <f>IF(AND(ISNUMBER(C192),ISNUMBER(E192)),C192*E192,"")</f>
        <v/>
      </c>
      <c r="G192" s="33" t="n"/>
      <c r="H192" s="34">
        <f>IF(COUNTA(A192:C192,G192)=0,"",IF(TRIM(A192)="","メニュー名がありません",IF(ISNA(MATCH(A192,'メニュー原価率'!$A$8:$A$107,0)),"メニュー原価率に無いメニューです",IF(TRIM(B192)="","食材名がありません",IF(ISNA(MATCH(B192,'食材の単価'!$A$5:$A$204,0)),"食材の単価に無い食材です",IF(NOT(ISNUMBER(C192)),"使用量がありません",IF(NOT(ISNUMBER(E192)),"食材の単価が出ていません（仕入価格・仕入量）","")))))))</f>
        <v/>
      </c>
    </row>
    <row r="193" ht="16" customHeight="1">
      <c r="A193" s="38" t="n"/>
      <c r="B193" s="38" t="n"/>
      <c r="C193" s="39" t="n"/>
      <c r="D193" s="53">
        <f>IF(B193="","",IFERROR(INDEX('食材の単価'!$D$5:$D$204,MATCH(B193,'食材の単価'!$A$5:$A$204,0))&amp;"",""))</f>
        <v/>
      </c>
      <c r="E193" s="80">
        <f>IF(B193="","",IFERROR(INDEX('食材の単価'!$G$5:$G$204,MATCH(B193,'食材の単価'!$A$5:$A$204,0)),""))</f>
        <v/>
      </c>
      <c r="F193" s="78">
        <f>IF(AND(ISNUMBER(C193),ISNUMBER(E193)),C193*E193,"")</f>
        <v/>
      </c>
      <c r="G193" s="33" t="n"/>
      <c r="H193" s="34">
        <f>IF(COUNTA(A193:C193,G193)=0,"",IF(TRIM(A193)="","メニュー名がありません",IF(ISNA(MATCH(A193,'メニュー原価率'!$A$8:$A$107,0)),"メニュー原価率に無いメニューです",IF(TRIM(B193)="","食材名がありません",IF(ISNA(MATCH(B193,'食材の単価'!$A$5:$A$204,0)),"食材の単価に無い食材です",IF(NOT(ISNUMBER(C193)),"使用量がありません",IF(NOT(ISNUMBER(E193)),"食材の単価が出ていません（仕入価格・仕入量）","")))))))</f>
        <v/>
      </c>
    </row>
    <row r="194" ht="16" customHeight="1">
      <c r="A194" s="38" t="n"/>
      <c r="B194" s="38" t="n"/>
      <c r="C194" s="39" t="n"/>
      <c r="D194" s="53">
        <f>IF(B194="","",IFERROR(INDEX('食材の単価'!$D$5:$D$204,MATCH(B194,'食材の単価'!$A$5:$A$204,0))&amp;"",""))</f>
        <v/>
      </c>
      <c r="E194" s="80">
        <f>IF(B194="","",IFERROR(INDEX('食材の単価'!$G$5:$G$204,MATCH(B194,'食材の単価'!$A$5:$A$204,0)),""))</f>
        <v/>
      </c>
      <c r="F194" s="78">
        <f>IF(AND(ISNUMBER(C194),ISNUMBER(E194)),C194*E194,"")</f>
        <v/>
      </c>
      <c r="G194" s="33" t="n"/>
      <c r="H194" s="34">
        <f>IF(COUNTA(A194:C194,G194)=0,"",IF(TRIM(A194)="","メニュー名がありません",IF(ISNA(MATCH(A194,'メニュー原価率'!$A$8:$A$107,0)),"メニュー原価率に無いメニューです",IF(TRIM(B194)="","食材名がありません",IF(ISNA(MATCH(B194,'食材の単価'!$A$5:$A$204,0)),"食材の単価に無い食材です",IF(NOT(ISNUMBER(C194)),"使用量がありません",IF(NOT(ISNUMBER(E194)),"食材の単価が出ていません（仕入価格・仕入量）","")))))))</f>
        <v/>
      </c>
    </row>
    <row r="195" ht="16" customHeight="1">
      <c r="A195" s="38" t="n"/>
      <c r="B195" s="38" t="n"/>
      <c r="C195" s="39" t="n"/>
      <c r="D195" s="53">
        <f>IF(B195="","",IFERROR(INDEX('食材の単価'!$D$5:$D$204,MATCH(B195,'食材の単価'!$A$5:$A$204,0))&amp;"",""))</f>
        <v/>
      </c>
      <c r="E195" s="80">
        <f>IF(B195="","",IFERROR(INDEX('食材の単価'!$G$5:$G$204,MATCH(B195,'食材の単価'!$A$5:$A$204,0)),""))</f>
        <v/>
      </c>
      <c r="F195" s="78">
        <f>IF(AND(ISNUMBER(C195),ISNUMBER(E195)),C195*E195,"")</f>
        <v/>
      </c>
      <c r="G195" s="33" t="n"/>
      <c r="H195" s="34">
        <f>IF(COUNTA(A195:C195,G195)=0,"",IF(TRIM(A195)="","メニュー名がありません",IF(ISNA(MATCH(A195,'メニュー原価率'!$A$8:$A$107,0)),"メニュー原価率に無いメニューです",IF(TRIM(B195)="","食材名がありません",IF(ISNA(MATCH(B195,'食材の単価'!$A$5:$A$204,0)),"食材の単価に無い食材です",IF(NOT(ISNUMBER(C195)),"使用量がありません",IF(NOT(ISNUMBER(E195)),"食材の単価が出ていません（仕入価格・仕入量）","")))))))</f>
        <v/>
      </c>
    </row>
    <row r="196" ht="16" customHeight="1">
      <c r="A196" s="38" t="n"/>
      <c r="B196" s="38" t="n"/>
      <c r="C196" s="39" t="n"/>
      <c r="D196" s="53">
        <f>IF(B196="","",IFERROR(INDEX('食材の単価'!$D$5:$D$204,MATCH(B196,'食材の単価'!$A$5:$A$204,0))&amp;"",""))</f>
        <v/>
      </c>
      <c r="E196" s="80">
        <f>IF(B196="","",IFERROR(INDEX('食材の単価'!$G$5:$G$204,MATCH(B196,'食材の単価'!$A$5:$A$204,0)),""))</f>
        <v/>
      </c>
      <c r="F196" s="78">
        <f>IF(AND(ISNUMBER(C196),ISNUMBER(E196)),C196*E196,"")</f>
        <v/>
      </c>
      <c r="G196" s="33" t="n"/>
      <c r="H196" s="34">
        <f>IF(COUNTA(A196:C196,G196)=0,"",IF(TRIM(A196)="","メニュー名がありません",IF(ISNA(MATCH(A196,'メニュー原価率'!$A$8:$A$107,0)),"メニュー原価率に無いメニューです",IF(TRIM(B196)="","食材名がありません",IF(ISNA(MATCH(B196,'食材の単価'!$A$5:$A$204,0)),"食材の単価に無い食材です",IF(NOT(ISNUMBER(C196)),"使用量がありません",IF(NOT(ISNUMBER(E196)),"食材の単価が出ていません（仕入価格・仕入量）","")))))))</f>
        <v/>
      </c>
    </row>
    <row r="197" ht="16" customHeight="1">
      <c r="A197" s="38" t="n"/>
      <c r="B197" s="38" t="n"/>
      <c r="C197" s="39" t="n"/>
      <c r="D197" s="53">
        <f>IF(B197="","",IFERROR(INDEX('食材の単価'!$D$5:$D$204,MATCH(B197,'食材の単価'!$A$5:$A$204,0))&amp;"",""))</f>
        <v/>
      </c>
      <c r="E197" s="80">
        <f>IF(B197="","",IFERROR(INDEX('食材の単価'!$G$5:$G$204,MATCH(B197,'食材の単価'!$A$5:$A$204,0)),""))</f>
        <v/>
      </c>
      <c r="F197" s="78">
        <f>IF(AND(ISNUMBER(C197),ISNUMBER(E197)),C197*E197,"")</f>
        <v/>
      </c>
      <c r="G197" s="33" t="n"/>
      <c r="H197" s="34">
        <f>IF(COUNTA(A197:C197,G197)=0,"",IF(TRIM(A197)="","メニュー名がありません",IF(ISNA(MATCH(A197,'メニュー原価率'!$A$8:$A$107,0)),"メニュー原価率に無いメニューです",IF(TRIM(B197)="","食材名がありません",IF(ISNA(MATCH(B197,'食材の単価'!$A$5:$A$204,0)),"食材の単価に無い食材です",IF(NOT(ISNUMBER(C197)),"使用量がありません",IF(NOT(ISNUMBER(E197)),"食材の単価が出ていません（仕入価格・仕入量）","")))))))</f>
        <v/>
      </c>
    </row>
    <row r="198" ht="16" customHeight="1">
      <c r="A198" s="38" t="n"/>
      <c r="B198" s="38" t="n"/>
      <c r="C198" s="39" t="n"/>
      <c r="D198" s="53">
        <f>IF(B198="","",IFERROR(INDEX('食材の単価'!$D$5:$D$204,MATCH(B198,'食材の単価'!$A$5:$A$204,0))&amp;"",""))</f>
        <v/>
      </c>
      <c r="E198" s="80">
        <f>IF(B198="","",IFERROR(INDEX('食材の単価'!$G$5:$G$204,MATCH(B198,'食材の単価'!$A$5:$A$204,0)),""))</f>
        <v/>
      </c>
      <c r="F198" s="78">
        <f>IF(AND(ISNUMBER(C198),ISNUMBER(E198)),C198*E198,"")</f>
        <v/>
      </c>
      <c r="G198" s="33" t="n"/>
      <c r="H198" s="34">
        <f>IF(COUNTA(A198:C198,G198)=0,"",IF(TRIM(A198)="","メニュー名がありません",IF(ISNA(MATCH(A198,'メニュー原価率'!$A$8:$A$107,0)),"メニュー原価率に無いメニューです",IF(TRIM(B198)="","食材名がありません",IF(ISNA(MATCH(B198,'食材の単価'!$A$5:$A$204,0)),"食材の単価に無い食材です",IF(NOT(ISNUMBER(C198)),"使用量がありません",IF(NOT(ISNUMBER(E198)),"食材の単価が出ていません（仕入価格・仕入量）","")))))))</f>
        <v/>
      </c>
    </row>
    <row r="199" ht="16" customHeight="1">
      <c r="A199" s="38" t="n"/>
      <c r="B199" s="38" t="n"/>
      <c r="C199" s="39" t="n"/>
      <c r="D199" s="53">
        <f>IF(B199="","",IFERROR(INDEX('食材の単価'!$D$5:$D$204,MATCH(B199,'食材の単価'!$A$5:$A$204,0))&amp;"",""))</f>
        <v/>
      </c>
      <c r="E199" s="80">
        <f>IF(B199="","",IFERROR(INDEX('食材の単価'!$G$5:$G$204,MATCH(B199,'食材の単価'!$A$5:$A$204,0)),""))</f>
        <v/>
      </c>
      <c r="F199" s="78">
        <f>IF(AND(ISNUMBER(C199),ISNUMBER(E199)),C199*E199,"")</f>
        <v/>
      </c>
      <c r="G199" s="33" t="n"/>
      <c r="H199" s="34">
        <f>IF(COUNTA(A199:C199,G199)=0,"",IF(TRIM(A199)="","メニュー名がありません",IF(ISNA(MATCH(A199,'メニュー原価率'!$A$8:$A$107,0)),"メニュー原価率に無いメニューです",IF(TRIM(B199)="","食材名がありません",IF(ISNA(MATCH(B199,'食材の単価'!$A$5:$A$204,0)),"食材の単価に無い食材です",IF(NOT(ISNUMBER(C199)),"使用量がありません",IF(NOT(ISNUMBER(E199)),"食材の単価が出ていません（仕入価格・仕入量）","")))))))</f>
        <v/>
      </c>
    </row>
    <row r="200" ht="16" customHeight="1">
      <c r="A200" s="38" t="n"/>
      <c r="B200" s="38" t="n"/>
      <c r="C200" s="39" t="n"/>
      <c r="D200" s="53">
        <f>IF(B200="","",IFERROR(INDEX('食材の単価'!$D$5:$D$204,MATCH(B200,'食材の単価'!$A$5:$A$204,0))&amp;"",""))</f>
        <v/>
      </c>
      <c r="E200" s="80">
        <f>IF(B200="","",IFERROR(INDEX('食材の単価'!$G$5:$G$204,MATCH(B200,'食材の単価'!$A$5:$A$204,0)),""))</f>
        <v/>
      </c>
      <c r="F200" s="78">
        <f>IF(AND(ISNUMBER(C200),ISNUMBER(E200)),C200*E200,"")</f>
        <v/>
      </c>
      <c r="G200" s="33" t="n"/>
      <c r="H200" s="34">
        <f>IF(COUNTA(A200:C200,G200)=0,"",IF(TRIM(A200)="","メニュー名がありません",IF(ISNA(MATCH(A200,'メニュー原価率'!$A$8:$A$107,0)),"メニュー原価率に無いメニューです",IF(TRIM(B200)="","食材名がありません",IF(ISNA(MATCH(B200,'食材の単価'!$A$5:$A$204,0)),"食材の単価に無い食材です",IF(NOT(ISNUMBER(C200)),"使用量がありません",IF(NOT(ISNUMBER(E200)),"食材の単価が出ていません（仕入価格・仕入量）","")))))))</f>
        <v/>
      </c>
    </row>
    <row r="201" ht="16" customHeight="1">
      <c r="A201" s="38" t="n"/>
      <c r="B201" s="38" t="n"/>
      <c r="C201" s="39" t="n"/>
      <c r="D201" s="53">
        <f>IF(B201="","",IFERROR(INDEX('食材の単価'!$D$5:$D$204,MATCH(B201,'食材の単価'!$A$5:$A$204,0))&amp;"",""))</f>
        <v/>
      </c>
      <c r="E201" s="80">
        <f>IF(B201="","",IFERROR(INDEX('食材の単価'!$G$5:$G$204,MATCH(B201,'食材の単価'!$A$5:$A$204,0)),""))</f>
        <v/>
      </c>
      <c r="F201" s="78">
        <f>IF(AND(ISNUMBER(C201),ISNUMBER(E201)),C201*E201,"")</f>
        <v/>
      </c>
      <c r="G201" s="33" t="n"/>
      <c r="H201" s="34">
        <f>IF(COUNTA(A201:C201,G201)=0,"",IF(TRIM(A201)="","メニュー名がありません",IF(ISNA(MATCH(A201,'メニュー原価率'!$A$8:$A$107,0)),"メニュー原価率に無いメニューです",IF(TRIM(B201)="","食材名がありません",IF(ISNA(MATCH(B201,'食材の単価'!$A$5:$A$204,0)),"食材の単価に無い食材です",IF(NOT(ISNUMBER(C201)),"使用量がありません",IF(NOT(ISNUMBER(E201)),"食材の単価が出ていません（仕入価格・仕入量）","")))))))</f>
        <v/>
      </c>
    </row>
    <row r="202" ht="16" customHeight="1">
      <c r="A202" s="38" t="n"/>
      <c r="B202" s="38" t="n"/>
      <c r="C202" s="39" t="n"/>
      <c r="D202" s="53">
        <f>IF(B202="","",IFERROR(INDEX('食材の単価'!$D$5:$D$204,MATCH(B202,'食材の単価'!$A$5:$A$204,0))&amp;"",""))</f>
        <v/>
      </c>
      <c r="E202" s="80">
        <f>IF(B202="","",IFERROR(INDEX('食材の単価'!$G$5:$G$204,MATCH(B202,'食材の単価'!$A$5:$A$204,0)),""))</f>
        <v/>
      </c>
      <c r="F202" s="78">
        <f>IF(AND(ISNUMBER(C202),ISNUMBER(E202)),C202*E202,"")</f>
        <v/>
      </c>
      <c r="G202" s="33" t="n"/>
      <c r="H202" s="34">
        <f>IF(COUNTA(A202:C202,G202)=0,"",IF(TRIM(A202)="","メニュー名がありません",IF(ISNA(MATCH(A202,'メニュー原価率'!$A$8:$A$107,0)),"メニュー原価率に無いメニューです",IF(TRIM(B202)="","食材名がありません",IF(ISNA(MATCH(B202,'食材の単価'!$A$5:$A$204,0)),"食材の単価に無い食材です",IF(NOT(ISNUMBER(C202)),"使用量がありません",IF(NOT(ISNUMBER(E202)),"食材の単価が出ていません（仕入価格・仕入量）","")))))))</f>
        <v/>
      </c>
    </row>
    <row r="203" ht="16" customHeight="1">
      <c r="A203" s="38" t="n"/>
      <c r="B203" s="38" t="n"/>
      <c r="C203" s="39" t="n"/>
      <c r="D203" s="53">
        <f>IF(B203="","",IFERROR(INDEX('食材の単価'!$D$5:$D$204,MATCH(B203,'食材の単価'!$A$5:$A$204,0))&amp;"",""))</f>
        <v/>
      </c>
      <c r="E203" s="80">
        <f>IF(B203="","",IFERROR(INDEX('食材の単価'!$G$5:$G$204,MATCH(B203,'食材の単価'!$A$5:$A$204,0)),""))</f>
        <v/>
      </c>
      <c r="F203" s="78">
        <f>IF(AND(ISNUMBER(C203),ISNUMBER(E203)),C203*E203,"")</f>
        <v/>
      </c>
      <c r="G203" s="33" t="n"/>
      <c r="H203" s="34">
        <f>IF(COUNTA(A203:C203,G203)=0,"",IF(TRIM(A203)="","メニュー名がありません",IF(ISNA(MATCH(A203,'メニュー原価率'!$A$8:$A$107,0)),"メニュー原価率に無いメニューです",IF(TRIM(B203)="","食材名がありません",IF(ISNA(MATCH(B203,'食材の単価'!$A$5:$A$204,0)),"食材の単価に無い食材です",IF(NOT(ISNUMBER(C203)),"使用量がありません",IF(NOT(ISNUMBER(E203)),"食材の単価が出ていません（仕入価格・仕入量）","")))))))</f>
        <v/>
      </c>
    </row>
    <row r="204" ht="16" customHeight="1">
      <c r="A204" s="38" t="n"/>
      <c r="B204" s="38" t="n"/>
      <c r="C204" s="39" t="n"/>
      <c r="D204" s="53">
        <f>IF(B204="","",IFERROR(INDEX('食材の単価'!$D$5:$D$204,MATCH(B204,'食材の単価'!$A$5:$A$204,0))&amp;"",""))</f>
        <v/>
      </c>
      <c r="E204" s="80">
        <f>IF(B204="","",IFERROR(INDEX('食材の単価'!$G$5:$G$204,MATCH(B204,'食材の単価'!$A$5:$A$204,0)),""))</f>
        <v/>
      </c>
      <c r="F204" s="78">
        <f>IF(AND(ISNUMBER(C204),ISNUMBER(E204)),C204*E204,"")</f>
        <v/>
      </c>
      <c r="G204" s="33" t="n"/>
      <c r="H204" s="34">
        <f>IF(COUNTA(A204:C204,G204)=0,"",IF(TRIM(A204)="","メニュー名がありません",IF(ISNA(MATCH(A204,'メニュー原価率'!$A$8:$A$107,0)),"メニュー原価率に無いメニューです",IF(TRIM(B204)="","食材名がありません",IF(ISNA(MATCH(B204,'食材の単価'!$A$5:$A$204,0)),"食材の単価に無い食材です",IF(NOT(ISNUMBER(C204)),"使用量がありません",IF(NOT(ISNUMBER(E204)),"食材の単価が出ていません（仕入価格・仕入量）","")))))))</f>
        <v/>
      </c>
    </row>
    <row r="205" ht="16" customHeight="1">
      <c r="A205" s="38" t="n"/>
      <c r="B205" s="38" t="n"/>
      <c r="C205" s="39" t="n"/>
      <c r="D205" s="53">
        <f>IF(B205="","",IFERROR(INDEX('食材の単価'!$D$5:$D$204,MATCH(B205,'食材の単価'!$A$5:$A$204,0))&amp;"",""))</f>
        <v/>
      </c>
      <c r="E205" s="80">
        <f>IF(B205="","",IFERROR(INDEX('食材の単価'!$G$5:$G$204,MATCH(B205,'食材の単価'!$A$5:$A$204,0)),""))</f>
        <v/>
      </c>
      <c r="F205" s="78">
        <f>IF(AND(ISNUMBER(C205),ISNUMBER(E205)),C205*E205,"")</f>
        <v/>
      </c>
      <c r="G205" s="33" t="n"/>
      <c r="H205" s="34">
        <f>IF(COUNTA(A205:C205,G205)=0,"",IF(TRIM(A205)="","メニュー名がありません",IF(ISNA(MATCH(A205,'メニュー原価率'!$A$8:$A$107,0)),"メニュー原価率に無いメニューです",IF(TRIM(B205)="","食材名がありません",IF(ISNA(MATCH(B205,'食材の単価'!$A$5:$A$204,0)),"食材の単価に無い食材です",IF(NOT(ISNUMBER(C205)),"使用量がありません",IF(NOT(ISNUMBER(E205)),"食材の単価が出ていません（仕入価格・仕入量）","")))))))</f>
        <v/>
      </c>
    </row>
    <row r="206" ht="16" customHeight="1">
      <c r="A206" s="38" t="n"/>
      <c r="B206" s="38" t="n"/>
      <c r="C206" s="39" t="n"/>
      <c r="D206" s="53">
        <f>IF(B206="","",IFERROR(INDEX('食材の単価'!$D$5:$D$204,MATCH(B206,'食材の単価'!$A$5:$A$204,0))&amp;"",""))</f>
        <v/>
      </c>
      <c r="E206" s="80">
        <f>IF(B206="","",IFERROR(INDEX('食材の単価'!$G$5:$G$204,MATCH(B206,'食材の単価'!$A$5:$A$204,0)),""))</f>
        <v/>
      </c>
      <c r="F206" s="78">
        <f>IF(AND(ISNUMBER(C206),ISNUMBER(E206)),C206*E206,"")</f>
        <v/>
      </c>
      <c r="G206" s="33" t="n"/>
      <c r="H206" s="34">
        <f>IF(COUNTA(A206:C206,G206)=0,"",IF(TRIM(A206)="","メニュー名がありません",IF(ISNA(MATCH(A206,'メニュー原価率'!$A$8:$A$107,0)),"メニュー原価率に無いメニューです",IF(TRIM(B206)="","食材名がありません",IF(ISNA(MATCH(B206,'食材の単価'!$A$5:$A$204,0)),"食材の単価に無い食材です",IF(NOT(ISNUMBER(C206)),"使用量がありません",IF(NOT(ISNUMBER(E206)),"食材の単価が出ていません（仕入価格・仕入量）","")))))))</f>
        <v/>
      </c>
    </row>
    <row r="207" ht="16" customHeight="1">
      <c r="A207" s="38" t="n"/>
      <c r="B207" s="38" t="n"/>
      <c r="C207" s="39" t="n"/>
      <c r="D207" s="53">
        <f>IF(B207="","",IFERROR(INDEX('食材の単価'!$D$5:$D$204,MATCH(B207,'食材の単価'!$A$5:$A$204,0))&amp;"",""))</f>
        <v/>
      </c>
      <c r="E207" s="80">
        <f>IF(B207="","",IFERROR(INDEX('食材の単価'!$G$5:$G$204,MATCH(B207,'食材の単価'!$A$5:$A$204,0)),""))</f>
        <v/>
      </c>
      <c r="F207" s="78">
        <f>IF(AND(ISNUMBER(C207),ISNUMBER(E207)),C207*E207,"")</f>
        <v/>
      </c>
      <c r="G207" s="33" t="n"/>
      <c r="H207" s="34">
        <f>IF(COUNTA(A207:C207,G207)=0,"",IF(TRIM(A207)="","メニュー名がありません",IF(ISNA(MATCH(A207,'メニュー原価率'!$A$8:$A$107,0)),"メニュー原価率に無いメニューです",IF(TRIM(B207)="","食材名がありません",IF(ISNA(MATCH(B207,'食材の単価'!$A$5:$A$204,0)),"食材の単価に無い食材です",IF(NOT(ISNUMBER(C207)),"使用量がありません",IF(NOT(ISNUMBER(E207)),"食材の単価が出ていません（仕入価格・仕入量）","")))))))</f>
        <v/>
      </c>
    </row>
    <row r="208" ht="16" customHeight="1">
      <c r="A208" s="38" t="n"/>
      <c r="B208" s="38" t="n"/>
      <c r="C208" s="39" t="n"/>
      <c r="D208" s="53">
        <f>IF(B208="","",IFERROR(INDEX('食材の単価'!$D$5:$D$204,MATCH(B208,'食材の単価'!$A$5:$A$204,0))&amp;"",""))</f>
        <v/>
      </c>
      <c r="E208" s="80">
        <f>IF(B208="","",IFERROR(INDEX('食材の単価'!$G$5:$G$204,MATCH(B208,'食材の単価'!$A$5:$A$204,0)),""))</f>
        <v/>
      </c>
      <c r="F208" s="78">
        <f>IF(AND(ISNUMBER(C208),ISNUMBER(E208)),C208*E208,"")</f>
        <v/>
      </c>
      <c r="G208" s="33" t="n"/>
      <c r="H208" s="34">
        <f>IF(COUNTA(A208:C208,G208)=0,"",IF(TRIM(A208)="","メニュー名がありません",IF(ISNA(MATCH(A208,'メニュー原価率'!$A$8:$A$107,0)),"メニュー原価率に無いメニューです",IF(TRIM(B208)="","食材名がありません",IF(ISNA(MATCH(B208,'食材の単価'!$A$5:$A$204,0)),"食材の単価に無い食材です",IF(NOT(ISNUMBER(C208)),"使用量がありません",IF(NOT(ISNUMBER(E208)),"食材の単価が出ていません（仕入価格・仕入量）","")))))))</f>
        <v/>
      </c>
    </row>
    <row r="209" ht="16" customHeight="1">
      <c r="A209" s="38" t="n"/>
      <c r="B209" s="38" t="n"/>
      <c r="C209" s="39" t="n"/>
      <c r="D209" s="53">
        <f>IF(B209="","",IFERROR(INDEX('食材の単価'!$D$5:$D$204,MATCH(B209,'食材の単価'!$A$5:$A$204,0))&amp;"",""))</f>
        <v/>
      </c>
      <c r="E209" s="80">
        <f>IF(B209="","",IFERROR(INDEX('食材の単価'!$G$5:$G$204,MATCH(B209,'食材の単価'!$A$5:$A$204,0)),""))</f>
        <v/>
      </c>
      <c r="F209" s="78">
        <f>IF(AND(ISNUMBER(C209),ISNUMBER(E209)),C209*E209,"")</f>
        <v/>
      </c>
      <c r="G209" s="33" t="n"/>
      <c r="H209" s="34">
        <f>IF(COUNTA(A209:C209,G209)=0,"",IF(TRIM(A209)="","メニュー名がありません",IF(ISNA(MATCH(A209,'メニュー原価率'!$A$8:$A$107,0)),"メニュー原価率に無いメニューです",IF(TRIM(B209)="","食材名がありません",IF(ISNA(MATCH(B209,'食材の単価'!$A$5:$A$204,0)),"食材の単価に無い食材です",IF(NOT(ISNUMBER(C209)),"使用量がありません",IF(NOT(ISNUMBER(E209)),"食材の単価が出ていません（仕入価格・仕入量）","")))))))</f>
        <v/>
      </c>
    </row>
    <row r="210" ht="16" customHeight="1">
      <c r="A210" s="38" t="n"/>
      <c r="B210" s="38" t="n"/>
      <c r="C210" s="39" t="n"/>
      <c r="D210" s="53">
        <f>IF(B210="","",IFERROR(INDEX('食材の単価'!$D$5:$D$204,MATCH(B210,'食材の単価'!$A$5:$A$204,0))&amp;"",""))</f>
        <v/>
      </c>
      <c r="E210" s="80">
        <f>IF(B210="","",IFERROR(INDEX('食材の単価'!$G$5:$G$204,MATCH(B210,'食材の単価'!$A$5:$A$204,0)),""))</f>
        <v/>
      </c>
      <c r="F210" s="78">
        <f>IF(AND(ISNUMBER(C210),ISNUMBER(E210)),C210*E210,"")</f>
        <v/>
      </c>
      <c r="G210" s="33" t="n"/>
      <c r="H210" s="34">
        <f>IF(COUNTA(A210:C210,G210)=0,"",IF(TRIM(A210)="","メニュー名がありません",IF(ISNA(MATCH(A210,'メニュー原価率'!$A$8:$A$107,0)),"メニュー原価率に無いメニューです",IF(TRIM(B210)="","食材名がありません",IF(ISNA(MATCH(B210,'食材の単価'!$A$5:$A$204,0)),"食材の単価に無い食材です",IF(NOT(ISNUMBER(C210)),"使用量がありません",IF(NOT(ISNUMBER(E210)),"食材の単価が出ていません（仕入価格・仕入量）","")))))))</f>
        <v/>
      </c>
    </row>
    <row r="211" ht="16" customHeight="1">
      <c r="A211" s="38" t="n"/>
      <c r="B211" s="38" t="n"/>
      <c r="C211" s="39" t="n"/>
      <c r="D211" s="53">
        <f>IF(B211="","",IFERROR(INDEX('食材の単価'!$D$5:$D$204,MATCH(B211,'食材の単価'!$A$5:$A$204,0))&amp;"",""))</f>
        <v/>
      </c>
      <c r="E211" s="80">
        <f>IF(B211="","",IFERROR(INDEX('食材の単価'!$G$5:$G$204,MATCH(B211,'食材の単価'!$A$5:$A$204,0)),""))</f>
        <v/>
      </c>
      <c r="F211" s="78">
        <f>IF(AND(ISNUMBER(C211),ISNUMBER(E211)),C211*E211,"")</f>
        <v/>
      </c>
      <c r="G211" s="33" t="n"/>
      <c r="H211" s="34">
        <f>IF(COUNTA(A211:C211,G211)=0,"",IF(TRIM(A211)="","メニュー名がありません",IF(ISNA(MATCH(A211,'メニュー原価率'!$A$8:$A$107,0)),"メニュー原価率に無いメニューです",IF(TRIM(B211)="","食材名がありません",IF(ISNA(MATCH(B211,'食材の単価'!$A$5:$A$204,0)),"食材の単価に無い食材です",IF(NOT(ISNUMBER(C211)),"使用量がありません",IF(NOT(ISNUMBER(E211)),"食材の単価が出ていません（仕入価格・仕入量）","")))))))</f>
        <v/>
      </c>
    </row>
    <row r="212" ht="16" customHeight="1">
      <c r="A212" s="38" t="n"/>
      <c r="B212" s="38" t="n"/>
      <c r="C212" s="39" t="n"/>
      <c r="D212" s="53">
        <f>IF(B212="","",IFERROR(INDEX('食材の単価'!$D$5:$D$204,MATCH(B212,'食材の単価'!$A$5:$A$204,0))&amp;"",""))</f>
        <v/>
      </c>
      <c r="E212" s="80">
        <f>IF(B212="","",IFERROR(INDEX('食材の単価'!$G$5:$G$204,MATCH(B212,'食材の単価'!$A$5:$A$204,0)),""))</f>
        <v/>
      </c>
      <c r="F212" s="78">
        <f>IF(AND(ISNUMBER(C212),ISNUMBER(E212)),C212*E212,"")</f>
        <v/>
      </c>
      <c r="G212" s="33" t="n"/>
      <c r="H212" s="34">
        <f>IF(COUNTA(A212:C212,G212)=0,"",IF(TRIM(A212)="","メニュー名がありません",IF(ISNA(MATCH(A212,'メニュー原価率'!$A$8:$A$107,0)),"メニュー原価率に無いメニューです",IF(TRIM(B212)="","食材名がありません",IF(ISNA(MATCH(B212,'食材の単価'!$A$5:$A$204,0)),"食材の単価に無い食材です",IF(NOT(ISNUMBER(C212)),"使用量がありません",IF(NOT(ISNUMBER(E212)),"食材の単価が出ていません（仕入価格・仕入量）","")))))))</f>
        <v/>
      </c>
    </row>
    <row r="213" ht="16" customHeight="1">
      <c r="A213" s="38" t="n"/>
      <c r="B213" s="38" t="n"/>
      <c r="C213" s="39" t="n"/>
      <c r="D213" s="53">
        <f>IF(B213="","",IFERROR(INDEX('食材の単価'!$D$5:$D$204,MATCH(B213,'食材の単価'!$A$5:$A$204,0))&amp;"",""))</f>
        <v/>
      </c>
      <c r="E213" s="80">
        <f>IF(B213="","",IFERROR(INDEX('食材の単価'!$G$5:$G$204,MATCH(B213,'食材の単価'!$A$5:$A$204,0)),""))</f>
        <v/>
      </c>
      <c r="F213" s="78">
        <f>IF(AND(ISNUMBER(C213),ISNUMBER(E213)),C213*E213,"")</f>
        <v/>
      </c>
      <c r="G213" s="33" t="n"/>
      <c r="H213" s="34">
        <f>IF(COUNTA(A213:C213,G213)=0,"",IF(TRIM(A213)="","メニュー名がありません",IF(ISNA(MATCH(A213,'メニュー原価率'!$A$8:$A$107,0)),"メニュー原価率に無いメニューです",IF(TRIM(B213)="","食材名がありません",IF(ISNA(MATCH(B213,'食材の単価'!$A$5:$A$204,0)),"食材の単価に無い食材です",IF(NOT(ISNUMBER(C213)),"使用量がありません",IF(NOT(ISNUMBER(E213)),"食材の単価が出ていません（仕入価格・仕入量）","")))))))</f>
        <v/>
      </c>
    </row>
    <row r="214" ht="16" customHeight="1">
      <c r="A214" s="38" t="n"/>
      <c r="B214" s="38" t="n"/>
      <c r="C214" s="39" t="n"/>
      <c r="D214" s="53">
        <f>IF(B214="","",IFERROR(INDEX('食材の単価'!$D$5:$D$204,MATCH(B214,'食材の単価'!$A$5:$A$204,0))&amp;"",""))</f>
        <v/>
      </c>
      <c r="E214" s="80">
        <f>IF(B214="","",IFERROR(INDEX('食材の単価'!$G$5:$G$204,MATCH(B214,'食材の単価'!$A$5:$A$204,0)),""))</f>
        <v/>
      </c>
      <c r="F214" s="78">
        <f>IF(AND(ISNUMBER(C214),ISNUMBER(E214)),C214*E214,"")</f>
        <v/>
      </c>
      <c r="G214" s="33" t="n"/>
      <c r="H214" s="34">
        <f>IF(COUNTA(A214:C214,G214)=0,"",IF(TRIM(A214)="","メニュー名がありません",IF(ISNA(MATCH(A214,'メニュー原価率'!$A$8:$A$107,0)),"メニュー原価率に無いメニューです",IF(TRIM(B214)="","食材名がありません",IF(ISNA(MATCH(B214,'食材の単価'!$A$5:$A$204,0)),"食材の単価に無い食材です",IF(NOT(ISNUMBER(C214)),"使用量がありません",IF(NOT(ISNUMBER(E214)),"食材の単価が出ていません（仕入価格・仕入量）","")))))))</f>
        <v/>
      </c>
    </row>
    <row r="215" ht="16" customHeight="1">
      <c r="A215" s="38" t="n"/>
      <c r="B215" s="38" t="n"/>
      <c r="C215" s="39" t="n"/>
      <c r="D215" s="53">
        <f>IF(B215="","",IFERROR(INDEX('食材の単価'!$D$5:$D$204,MATCH(B215,'食材の単価'!$A$5:$A$204,0))&amp;"",""))</f>
        <v/>
      </c>
      <c r="E215" s="80">
        <f>IF(B215="","",IFERROR(INDEX('食材の単価'!$G$5:$G$204,MATCH(B215,'食材の単価'!$A$5:$A$204,0)),""))</f>
        <v/>
      </c>
      <c r="F215" s="78">
        <f>IF(AND(ISNUMBER(C215),ISNUMBER(E215)),C215*E215,"")</f>
        <v/>
      </c>
      <c r="G215" s="33" t="n"/>
      <c r="H215" s="34">
        <f>IF(COUNTA(A215:C215,G215)=0,"",IF(TRIM(A215)="","メニュー名がありません",IF(ISNA(MATCH(A215,'メニュー原価率'!$A$8:$A$107,0)),"メニュー原価率に無いメニューです",IF(TRIM(B215)="","食材名がありません",IF(ISNA(MATCH(B215,'食材の単価'!$A$5:$A$204,0)),"食材の単価に無い食材です",IF(NOT(ISNUMBER(C215)),"使用量がありません",IF(NOT(ISNUMBER(E215)),"食材の単価が出ていません（仕入価格・仕入量）","")))))))</f>
        <v/>
      </c>
    </row>
    <row r="216" ht="16" customHeight="1">
      <c r="A216" s="38" t="n"/>
      <c r="B216" s="38" t="n"/>
      <c r="C216" s="39" t="n"/>
      <c r="D216" s="53">
        <f>IF(B216="","",IFERROR(INDEX('食材の単価'!$D$5:$D$204,MATCH(B216,'食材の単価'!$A$5:$A$204,0))&amp;"",""))</f>
        <v/>
      </c>
      <c r="E216" s="80">
        <f>IF(B216="","",IFERROR(INDEX('食材の単価'!$G$5:$G$204,MATCH(B216,'食材の単価'!$A$5:$A$204,0)),""))</f>
        <v/>
      </c>
      <c r="F216" s="78">
        <f>IF(AND(ISNUMBER(C216),ISNUMBER(E216)),C216*E216,"")</f>
        <v/>
      </c>
      <c r="G216" s="33" t="n"/>
      <c r="H216" s="34">
        <f>IF(COUNTA(A216:C216,G216)=0,"",IF(TRIM(A216)="","メニュー名がありません",IF(ISNA(MATCH(A216,'メニュー原価率'!$A$8:$A$107,0)),"メニュー原価率に無いメニューです",IF(TRIM(B216)="","食材名がありません",IF(ISNA(MATCH(B216,'食材の単価'!$A$5:$A$204,0)),"食材の単価に無い食材です",IF(NOT(ISNUMBER(C216)),"使用量がありません",IF(NOT(ISNUMBER(E216)),"食材の単価が出ていません（仕入価格・仕入量）","")))))))</f>
        <v/>
      </c>
    </row>
    <row r="217" ht="16" customHeight="1">
      <c r="A217" s="38" t="n"/>
      <c r="B217" s="38" t="n"/>
      <c r="C217" s="39" t="n"/>
      <c r="D217" s="53">
        <f>IF(B217="","",IFERROR(INDEX('食材の単価'!$D$5:$D$204,MATCH(B217,'食材の単価'!$A$5:$A$204,0))&amp;"",""))</f>
        <v/>
      </c>
      <c r="E217" s="80">
        <f>IF(B217="","",IFERROR(INDEX('食材の単価'!$G$5:$G$204,MATCH(B217,'食材の単価'!$A$5:$A$204,0)),""))</f>
        <v/>
      </c>
      <c r="F217" s="78">
        <f>IF(AND(ISNUMBER(C217),ISNUMBER(E217)),C217*E217,"")</f>
        <v/>
      </c>
      <c r="G217" s="33" t="n"/>
      <c r="H217" s="34">
        <f>IF(COUNTA(A217:C217,G217)=0,"",IF(TRIM(A217)="","メニュー名がありません",IF(ISNA(MATCH(A217,'メニュー原価率'!$A$8:$A$107,0)),"メニュー原価率に無いメニューです",IF(TRIM(B217)="","食材名がありません",IF(ISNA(MATCH(B217,'食材の単価'!$A$5:$A$204,0)),"食材の単価に無い食材です",IF(NOT(ISNUMBER(C217)),"使用量がありません",IF(NOT(ISNUMBER(E217)),"食材の単価が出ていません（仕入価格・仕入量）","")))))))</f>
        <v/>
      </c>
    </row>
    <row r="218" ht="16" customHeight="1">
      <c r="A218" s="38" t="n"/>
      <c r="B218" s="38" t="n"/>
      <c r="C218" s="39" t="n"/>
      <c r="D218" s="53">
        <f>IF(B218="","",IFERROR(INDEX('食材の単価'!$D$5:$D$204,MATCH(B218,'食材の単価'!$A$5:$A$204,0))&amp;"",""))</f>
        <v/>
      </c>
      <c r="E218" s="80">
        <f>IF(B218="","",IFERROR(INDEX('食材の単価'!$G$5:$G$204,MATCH(B218,'食材の単価'!$A$5:$A$204,0)),""))</f>
        <v/>
      </c>
      <c r="F218" s="78">
        <f>IF(AND(ISNUMBER(C218),ISNUMBER(E218)),C218*E218,"")</f>
        <v/>
      </c>
      <c r="G218" s="33" t="n"/>
      <c r="H218" s="34">
        <f>IF(COUNTA(A218:C218,G218)=0,"",IF(TRIM(A218)="","メニュー名がありません",IF(ISNA(MATCH(A218,'メニュー原価率'!$A$8:$A$107,0)),"メニュー原価率に無いメニューです",IF(TRIM(B218)="","食材名がありません",IF(ISNA(MATCH(B218,'食材の単価'!$A$5:$A$204,0)),"食材の単価に無い食材です",IF(NOT(ISNUMBER(C218)),"使用量がありません",IF(NOT(ISNUMBER(E218)),"食材の単価が出ていません（仕入価格・仕入量）","")))))))</f>
        <v/>
      </c>
    </row>
    <row r="219" ht="16" customHeight="1">
      <c r="A219" s="38" t="n"/>
      <c r="B219" s="38" t="n"/>
      <c r="C219" s="39" t="n"/>
      <c r="D219" s="53">
        <f>IF(B219="","",IFERROR(INDEX('食材の単価'!$D$5:$D$204,MATCH(B219,'食材の単価'!$A$5:$A$204,0))&amp;"",""))</f>
        <v/>
      </c>
      <c r="E219" s="80">
        <f>IF(B219="","",IFERROR(INDEX('食材の単価'!$G$5:$G$204,MATCH(B219,'食材の単価'!$A$5:$A$204,0)),""))</f>
        <v/>
      </c>
      <c r="F219" s="78">
        <f>IF(AND(ISNUMBER(C219),ISNUMBER(E219)),C219*E219,"")</f>
        <v/>
      </c>
      <c r="G219" s="33" t="n"/>
      <c r="H219" s="34">
        <f>IF(COUNTA(A219:C219,G219)=0,"",IF(TRIM(A219)="","メニュー名がありません",IF(ISNA(MATCH(A219,'メニュー原価率'!$A$8:$A$107,0)),"メニュー原価率に無いメニューです",IF(TRIM(B219)="","食材名がありません",IF(ISNA(MATCH(B219,'食材の単価'!$A$5:$A$204,0)),"食材の単価に無い食材です",IF(NOT(ISNUMBER(C219)),"使用量がありません",IF(NOT(ISNUMBER(E219)),"食材の単価が出ていません（仕入価格・仕入量）","")))))))</f>
        <v/>
      </c>
    </row>
    <row r="220" ht="16" customHeight="1">
      <c r="A220" s="38" t="n"/>
      <c r="B220" s="38" t="n"/>
      <c r="C220" s="39" t="n"/>
      <c r="D220" s="53">
        <f>IF(B220="","",IFERROR(INDEX('食材の単価'!$D$5:$D$204,MATCH(B220,'食材の単価'!$A$5:$A$204,0))&amp;"",""))</f>
        <v/>
      </c>
      <c r="E220" s="80">
        <f>IF(B220="","",IFERROR(INDEX('食材の単価'!$G$5:$G$204,MATCH(B220,'食材の単価'!$A$5:$A$204,0)),""))</f>
        <v/>
      </c>
      <c r="F220" s="78">
        <f>IF(AND(ISNUMBER(C220),ISNUMBER(E220)),C220*E220,"")</f>
        <v/>
      </c>
      <c r="G220" s="33" t="n"/>
      <c r="H220" s="34">
        <f>IF(COUNTA(A220:C220,G220)=0,"",IF(TRIM(A220)="","メニュー名がありません",IF(ISNA(MATCH(A220,'メニュー原価率'!$A$8:$A$107,0)),"メニュー原価率に無いメニューです",IF(TRIM(B220)="","食材名がありません",IF(ISNA(MATCH(B220,'食材の単価'!$A$5:$A$204,0)),"食材の単価に無い食材です",IF(NOT(ISNUMBER(C220)),"使用量がありません",IF(NOT(ISNUMBER(E220)),"食材の単価が出ていません（仕入価格・仕入量）","")))))))</f>
        <v/>
      </c>
    </row>
    <row r="221" ht="16" customHeight="1">
      <c r="A221" s="38" t="n"/>
      <c r="B221" s="38" t="n"/>
      <c r="C221" s="39" t="n"/>
      <c r="D221" s="53">
        <f>IF(B221="","",IFERROR(INDEX('食材の単価'!$D$5:$D$204,MATCH(B221,'食材の単価'!$A$5:$A$204,0))&amp;"",""))</f>
        <v/>
      </c>
      <c r="E221" s="80">
        <f>IF(B221="","",IFERROR(INDEX('食材の単価'!$G$5:$G$204,MATCH(B221,'食材の単価'!$A$5:$A$204,0)),""))</f>
        <v/>
      </c>
      <c r="F221" s="78">
        <f>IF(AND(ISNUMBER(C221),ISNUMBER(E221)),C221*E221,"")</f>
        <v/>
      </c>
      <c r="G221" s="33" t="n"/>
      <c r="H221" s="34">
        <f>IF(COUNTA(A221:C221,G221)=0,"",IF(TRIM(A221)="","メニュー名がありません",IF(ISNA(MATCH(A221,'メニュー原価率'!$A$8:$A$107,0)),"メニュー原価率に無いメニューです",IF(TRIM(B221)="","食材名がありません",IF(ISNA(MATCH(B221,'食材の単価'!$A$5:$A$204,0)),"食材の単価に無い食材です",IF(NOT(ISNUMBER(C221)),"使用量がありません",IF(NOT(ISNUMBER(E221)),"食材の単価が出ていません（仕入価格・仕入量）","")))))))</f>
        <v/>
      </c>
    </row>
    <row r="222" ht="16" customHeight="1">
      <c r="A222" s="38" t="n"/>
      <c r="B222" s="38" t="n"/>
      <c r="C222" s="39" t="n"/>
      <c r="D222" s="53">
        <f>IF(B222="","",IFERROR(INDEX('食材の単価'!$D$5:$D$204,MATCH(B222,'食材の単価'!$A$5:$A$204,0))&amp;"",""))</f>
        <v/>
      </c>
      <c r="E222" s="80">
        <f>IF(B222="","",IFERROR(INDEX('食材の単価'!$G$5:$G$204,MATCH(B222,'食材の単価'!$A$5:$A$204,0)),""))</f>
        <v/>
      </c>
      <c r="F222" s="78">
        <f>IF(AND(ISNUMBER(C222),ISNUMBER(E222)),C222*E222,"")</f>
        <v/>
      </c>
      <c r="G222" s="33" t="n"/>
      <c r="H222" s="34">
        <f>IF(COUNTA(A222:C222,G222)=0,"",IF(TRIM(A222)="","メニュー名がありません",IF(ISNA(MATCH(A222,'メニュー原価率'!$A$8:$A$107,0)),"メニュー原価率に無いメニューです",IF(TRIM(B222)="","食材名がありません",IF(ISNA(MATCH(B222,'食材の単価'!$A$5:$A$204,0)),"食材の単価に無い食材です",IF(NOT(ISNUMBER(C222)),"使用量がありません",IF(NOT(ISNUMBER(E222)),"食材の単価が出ていません（仕入価格・仕入量）","")))))))</f>
        <v/>
      </c>
    </row>
    <row r="223" ht="16" customHeight="1">
      <c r="A223" s="38" t="n"/>
      <c r="B223" s="38" t="n"/>
      <c r="C223" s="39" t="n"/>
      <c r="D223" s="53">
        <f>IF(B223="","",IFERROR(INDEX('食材の単価'!$D$5:$D$204,MATCH(B223,'食材の単価'!$A$5:$A$204,0))&amp;"",""))</f>
        <v/>
      </c>
      <c r="E223" s="80">
        <f>IF(B223="","",IFERROR(INDEX('食材の単価'!$G$5:$G$204,MATCH(B223,'食材の単価'!$A$5:$A$204,0)),""))</f>
        <v/>
      </c>
      <c r="F223" s="78">
        <f>IF(AND(ISNUMBER(C223),ISNUMBER(E223)),C223*E223,"")</f>
        <v/>
      </c>
      <c r="G223" s="33" t="n"/>
      <c r="H223" s="34">
        <f>IF(COUNTA(A223:C223,G223)=0,"",IF(TRIM(A223)="","メニュー名がありません",IF(ISNA(MATCH(A223,'メニュー原価率'!$A$8:$A$107,0)),"メニュー原価率に無いメニューです",IF(TRIM(B223)="","食材名がありません",IF(ISNA(MATCH(B223,'食材の単価'!$A$5:$A$204,0)),"食材の単価に無い食材です",IF(NOT(ISNUMBER(C223)),"使用量がありません",IF(NOT(ISNUMBER(E223)),"食材の単価が出ていません（仕入価格・仕入量）","")))))))</f>
        <v/>
      </c>
    </row>
    <row r="224" ht="16" customHeight="1">
      <c r="A224" s="38" t="n"/>
      <c r="B224" s="38" t="n"/>
      <c r="C224" s="39" t="n"/>
      <c r="D224" s="53">
        <f>IF(B224="","",IFERROR(INDEX('食材の単価'!$D$5:$D$204,MATCH(B224,'食材の単価'!$A$5:$A$204,0))&amp;"",""))</f>
        <v/>
      </c>
      <c r="E224" s="80">
        <f>IF(B224="","",IFERROR(INDEX('食材の単価'!$G$5:$G$204,MATCH(B224,'食材の単価'!$A$5:$A$204,0)),""))</f>
        <v/>
      </c>
      <c r="F224" s="78">
        <f>IF(AND(ISNUMBER(C224),ISNUMBER(E224)),C224*E224,"")</f>
        <v/>
      </c>
      <c r="G224" s="33" t="n"/>
      <c r="H224" s="34">
        <f>IF(COUNTA(A224:C224,G224)=0,"",IF(TRIM(A224)="","メニュー名がありません",IF(ISNA(MATCH(A224,'メニュー原価率'!$A$8:$A$107,0)),"メニュー原価率に無いメニューです",IF(TRIM(B224)="","食材名がありません",IF(ISNA(MATCH(B224,'食材の単価'!$A$5:$A$204,0)),"食材の単価に無い食材です",IF(NOT(ISNUMBER(C224)),"使用量がありません",IF(NOT(ISNUMBER(E224)),"食材の単価が出ていません（仕入価格・仕入量）","")))))))</f>
        <v/>
      </c>
    </row>
    <row r="225" ht="16" customHeight="1">
      <c r="A225" s="38" t="n"/>
      <c r="B225" s="38" t="n"/>
      <c r="C225" s="39" t="n"/>
      <c r="D225" s="53">
        <f>IF(B225="","",IFERROR(INDEX('食材の単価'!$D$5:$D$204,MATCH(B225,'食材の単価'!$A$5:$A$204,0))&amp;"",""))</f>
        <v/>
      </c>
      <c r="E225" s="80">
        <f>IF(B225="","",IFERROR(INDEX('食材の単価'!$G$5:$G$204,MATCH(B225,'食材の単価'!$A$5:$A$204,0)),""))</f>
        <v/>
      </c>
      <c r="F225" s="78">
        <f>IF(AND(ISNUMBER(C225),ISNUMBER(E225)),C225*E225,"")</f>
        <v/>
      </c>
      <c r="G225" s="33" t="n"/>
      <c r="H225" s="34">
        <f>IF(COUNTA(A225:C225,G225)=0,"",IF(TRIM(A225)="","メニュー名がありません",IF(ISNA(MATCH(A225,'メニュー原価率'!$A$8:$A$107,0)),"メニュー原価率に無いメニューです",IF(TRIM(B225)="","食材名がありません",IF(ISNA(MATCH(B225,'食材の単価'!$A$5:$A$204,0)),"食材の単価に無い食材です",IF(NOT(ISNUMBER(C225)),"使用量がありません",IF(NOT(ISNUMBER(E225)),"食材の単価が出ていません（仕入価格・仕入量）","")))))))</f>
        <v/>
      </c>
    </row>
    <row r="226" ht="16" customHeight="1">
      <c r="A226" s="38" t="n"/>
      <c r="B226" s="38" t="n"/>
      <c r="C226" s="39" t="n"/>
      <c r="D226" s="53">
        <f>IF(B226="","",IFERROR(INDEX('食材の単価'!$D$5:$D$204,MATCH(B226,'食材の単価'!$A$5:$A$204,0))&amp;"",""))</f>
        <v/>
      </c>
      <c r="E226" s="80">
        <f>IF(B226="","",IFERROR(INDEX('食材の単価'!$G$5:$G$204,MATCH(B226,'食材の単価'!$A$5:$A$204,0)),""))</f>
        <v/>
      </c>
      <c r="F226" s="78">
        <f>IF(AND(ISNUMBER(C226),ISNUMBER(E226)),C226*E226,"")</f>
        <v/>
      </c>
      <c r="G226" s="33" t="n"/>
      <c r="H226" s="34">
        <f>IF(COUNTA(A226:C226,G226)=0,"",IF(TRIM(A226)="","メニュー名がありません",IF(ISNA(MATCH(A226,'メニュー原価率'!$A$8:$A$107,0)),"メニュー原価率に無いメニューです",IF(TRIM(B226)="","食材名がありません",IF(ISNA(MATCH(B226,'食材の単価'!$A$5:$A$204,0)),"食材の単価に無い食材です",IF(NOT(ISNUMBER(C226)),"使用量がありません",IF(NOT(ISNUMBER(E226)),"食材の単価が出ていません（仕入価格・仕入量）","")))))))</f>
        <v/>
      </c>
    </row>
    <row r="227" ht="16" customHeight="1">
      <c r="A227" s="38" t="n"/>
      <c r="B227" s="38" t="n"/>
      <c r="C227" s="39" t="n"/>
      <c r="D227" s="53">
        <f>IF(B227="","",IFERROR(INDEX('食材の単価'!$D$5:$D$204,MATCH(B227,'食材の単価'!$A$5:$A$204,0))&amp;"",""))</f>
        <v/>
      </c>
      <c r="E227" s="80">
        <f>IF(B227="","",IFERROR(INDEX('食材の単価'!$G$5:$G$204,MATCH(B227,'食材の単価'!$A$5:$A$204,0)),""))</f>
        <v/>
      </c>
      <c r="F227" s="78">
        <f>IF(AND(ISNUMBER(C227),ISNUMBER(E227)),C227*E227,"")</f>
        <v/>
      </c>
      <c r="G227" s="33" t="n"/>
      <c r="H227" s="34">
        <f>IF(COUNTA(A227:C227,G227)=0,"",IF(TRIM(A227)="","メニュー名がありません",IF(ISNA(MATCH(A227,'メニュー原価率'!$A$8:$A$107,0)),"メニュー原価率に無いメニューです",IF(TRIM(B227)="","食材名がありません",IF(ISNA(MATCH(B227,'食材の単価'!$A$5:$A$204,0)),"食材の単価に無い食材です",IF(NOT(ISNUMBER(C227)),"使用量がありません",IF(NOT(ISNUMBER(E227)),"食材の単価が出ていません（仕入価格・仕入量）","")))))))</f>
        <v/>
      </c>
    </row>
    <row r="228" ht="16" customHeight="1">
      <c r="A228" s="38" t="n"/>
      <c r="B228" s="38" t="n"/>
      <c r="C228" s="39" t="n"/>
      <c r="D228" s="53">
        <f>IF(B228="","",IFERROR(INDEX('食材の単価'!$D$5:$D$204,MATCH(B228,'食材の単価'!$A$5:$A$204,0))&amp;"",""))</f>
        <v/>
      </c>
      <c r="E228" s="80">
        <f>IF(B228="","",IFERROR(INDEX('食材の単価'!$G$5:$G$204,MATCH(B228,'食材の単価'!$A$5:$A$204,0)),""))</f>
        <v/>
      </c>
      <c r="F228" s="78">
        <f>IF(AND(ISNUMBER(C228),ISNUMBER(E228)),C228*E228,"")</f>
        <v/>
      </c>
      <c r="G228" s="33" t="n"/>
      <c r="H228" s="34">
        <f>IF(COUNTA(A228:C228,G228)=0,"",IF(TRIM(A228)="","メニュー名がありません",IF(ISNA(MATCH(A228,'メニュー原価率'!$A$8:$A$107,0)),"メニュー原価率に無いメニューです",IF(TRIM(B228)="","食材名がありません",IF(ISNA(MATCH(B228,'食材の単価'!$A$5:$A$204,0)),"食材の単価に無い食材です",IF(NOT(ISNUMBER(C228)),"使用量がありません",IF(NOT(ISNUMBER(E228)),"食材の単価が出ていません（仕入価格・仕入量）","")))))))</f>
        <v/>
      </c>
    </row>
    <row r="229" ht="16" customHeight="1">
      <c r="A229" s="38" t="n"/>
      <c r="B229" s="38" t="n"/>
      <c r="C229" s="39" t="n"/>
      <c r="D229" s="53">
        <f>IF(B229="","",IFERROR(INDEX('食材の単価'!$D$5:$D$204,MATCH(B229,'食材の単価'!$A$5:$A$204,0))&amp;"",""))</f>
        <v/>
      </c>
      <c r="E229" s="80">
        <f>IF(B229="","",IFERROR(INDEX('食材の単価'!$G$5:$G$204,MATCH(B229,'食材の単価'!$A$5:$A$204,0)),""))</f>
        <v/>
      </c>
      <c r="F229" s="78">
        <f>IF(AND(ISNUMBER(C229),ISNUMBER(E229)),C229*E229,"")</f>
        <v/>
      </c>
      <c r="G229" s="33" t="n"/>
      <c r="H229" s="34">
        <f>IF(COUNTA(A229:C229,G229)=0,"",IF(TRIM(A229)="","メニュー名がありません",IF(ISNA(MATCH(A229,'メニュー原価率'!$A$8:$A$107,0)),"メニュー原価率に無いメニューです",IF(TRIM(B229)="","食材名がありません",IF(ISNA(MATCH(B229,'食材の単価'!$A$5:$A$204,0)),"食材の単価に無い食材です",IF(NOT(ISNUMBER(C229)),"使用量がありません",IF(NOT(ISNUMBER(E229)),"食材の単価が出ていません（仕入価格・仕入量）","")))))))</f>
        <v/>
      </c>
    </row>
    <row r="230" ht="16" customHeight="1">
      <c r="A230" s="38" t="n"/>
      <c r="B230" s="38" t="n"/>
      <c r="C230" s="39" t="n"/>
      <c r="D230" s="53">
        <f>IF(B230="","",IFERROR(INDEX('食材の単価'!$D$5:$D$204,MATCH(B230,'食材の単価'!$A$5:$A$204,0))&amp;"",""))</f>
        <v/>
      </c>
      <c r="E230" s="80">
        <f>IF(B230="","",IFERROR(INDEX('食材の単価'!$G$5:$G$204,MATCH(B230,'食材の単価'!$A$5:$A$204,0)),""))</f>
        <v/>
      </c>
      <c r="F230" s="78">
        <f>IF(AND(ISNUMBER(C230),ISNUMBER(E230)),C230*E230,"")</f>
        <v/>
      </c>
      <c r="G230" s="33" t="n"/>
      <c r="H230" s="34">
        <f>IF(COUNTA(A230:C230,G230)=0,"",IF(TRIM(A230)="","メニュー名がありません",IF(ISNA(MATCH(A230,'メニュー原価率'!$A$8:$A$107,0)),"メニュー原価率に無いメニューです",IF(TRIM(B230)="","食材名がありません",IF(ISNA(MATCH(B230,'食材の単価'!$A$5:$A$204,0)),"食材の単価に無い食材です",IF(NOT(ISNUMBER(C230)),"使用量がありません",IF(NOT(ISNUMBER(E230)),"食材の単価が出ていません（仕入価格・仕入量）","")))))))</f>
        <v/>
      </c>
    </row>
    <row r="231" ht="16" customHeight="1">
      <c r="A231" s="38" t="n"/>
      <c r="B231" s="38" t="n"/>
      <c r="C231" s="39" t="n"/>
      <c r="D231" s="53">
        <f>IF(B231="","",IFERROR(INDEX('食材の単価'!$D$5:$D$204,MATCH(B231,'食材の単価'!$A$5:$A$204,0))&amp;"",""))</f>
        <v/>
      </c>
      <c r="E231" s="80">
        <f>IF(B231="","",IFERROR(INDEX('食材の単価'!$G$5:$G$204,MATCH(B231,'食材の単価'!$A$5:$A$204,0)),""))</f>
        <v/>
      </c>
      <c r="F231" s="78">
        <f>IF(AND(ISNUMBER(C231),ISNUMBER(E231)),C231*E231,"")</f>
        <v/>
      </c>
      <c r="G231" s="33" t="n"/>
      <c r="H231" s="34">
        <f>IF(COUNTA(A231:C231,G231)=0,"",IF(TRIM(A231)="","メニュー名がありません",IF(ISNA(MATCH(A231,'メニュー原価率'!$A$8:$A$107,0)),"メニュー原価率に無いメニューです",IF(TRIM(B231)="","食材名がありません",IF(ISNA(MATCH(B231,'食材の単価'!$A$5:$A$204,0)),"食材の単価に無い食材です",IF(NOT(ISNUMBER(C231)),"使用量がありません",IF(NOT(ISNUMBER(E231)),"食材の単価が出ていません（仕入価格・仕入量）","")))))))</f>
        <v/>
      </c>
    </row>
    <row r="232" ht="16" customHeight="1">
      <c r="A232" s="38" t="n"/>
      <c r="B232" s="38" t="n"/>
      <c r="C232" s="39" t="n"/>
      <c r="D232" s="53">
        <f>IF(B232="","",IFERROR(INDEX('食材の単価'!$D$5:$D$204,MATCH(B232,'食材の単価'!$A$5:$A$204,0))&amp;"",""))</f>
        <v/>
      </c>
      <c r="E232" s="80">
        <f>IF(B232="","",IFERROR(INDEX('食材の単価'!$G$5:$G$204,MATCH(B232,'食材の単価'!$A$5:$A$204,0)),""))</f>
        <v/>
      </c>
      <c r="F232" s="78">
        <f>IF(AND(ISNUMBER(C232),ISNUMBER(E232)),C232*E232,"")</f>
        <v/>
      </c>
      <c r="G232" s="33" t="n"/>
      <c r="H232" s="34">
        <f>IF(COUNTA(A232:C232,G232)=0,"",IF(TRIM(A232)="","メニュー名がありません",IF(ISNA(MATCH(A232,'メニュー原価率'!$A$8:$A$107,0)),"メニュー原価率に無いメニューです",IF(TRIM(B232)="","食材名がありません",IF(ISNA(MATCH(B232,'食材の単価'!$A$5:$A$204,0)),"食材の単価に無い食材です",IF(NOT(ISNUMBER(C232)),"使用量がありません",IF(NOT(ISNUMBER(E232)),"食材の単価が出ていません（仕入価格・仕入量）","")))))))</f>
        <v/>
      </c>
    </row>
    <row r="233" ht="16" customHeight="1">
      <c r="A233" s="38" t="n"/>
      <c r="B233" s="38" t="n"/>
      <c r="C233" s="39" t="n"/>
      <c r="D233" s="53">
        <f>IF(B233="","",IFERROR(INDEX('食材の単価'!$D$5:$D$204,MATCH(B233,'食材の単価'!$A$5:$A$204,0))&amp;"",""))</f>
        <v/>
      </c>
      <c r="E233" s="80">
        <f>IF(B233="","",IFERROR(INDEX('食材の単価'!$G$5:$G$204,MATCH(B233,'食材の単価'!$A$5:$A$204,0)),""))</f>
        <v/>
      </c>
      <c r="F233" s="78">
        <f>IF(AND(ISNUMBER(C233),ISNUMBER(E233)),C233*E233,"")</f>
        <v/>
      </c>
      <c r="G233" s="33" t="n"/>
      <c r="H233" s="34">
        <f>IF(COUNTA(A233:C233,G233)=0,"",IF(TRIM(A233)="","メニュー名がありません",IF(ISNA(MATCH(A233,'メニュー原価率'!$A$8:$A$107,0)),"メニュー原価率に無いメニューです",IF(TRIM(B233)="","食材名がありません",IF(ISNA(MATCH(B233,'食材の単価'!$A$5:$A$204,0)),"食材の単価に無い食材です",IF(NOT(ISNUMBER(C233)),"使用量がありません",IF(NOT(ISNUMBER(E233)),"食材の単価が出ていません（仕入価格・仕入量）","")))))))</f>
        <v/>
      </c>
    </row>
    <row r="234" ht="16" customHeight="1">
      <c r="A234" s="38" t="n"/>
      <c r="B234" s="38" t="n"/>
      <c r="C234" s="39" t="n"/>
      <c r="D234" s="53">
        <f>IF(B234="","",IFERROR(INDEX('食材の単価'!$D$5:$D$204,MATCH(B234,'食材の単価'!$A$5:$A$204,0))&amp;"",""))</f>
        <v/>
      </c>
      <c r="E234" s="80">
        <f>IF(B234="","",IFERROR(INDEX('食材の単価'!$G$5:$G$204,MATCH(B234,'食材の単価'!$A$5:$A$204,0)),""))</f>
        <v/>
      </c>
      <c r="F234" s="78">
        <f>IF(AND(ISNUMBER(C234),ISNUMBER(E234)),C234*E234,"")</f>
        <v/>
      </c>
      <c r="G234" s="33" t="n"/>
      <c r="H234" s="34">
        <f>IF(COUNTA(A234:C234,G234)=0,"",IF(TRIM(A234)="","メニュー名がありません",IF(ISNA(MATCH(A234,'メニュー原価率'!$A$8:$A$107,0)),"メニュー原価率に無いメニューです",IF(TRIM(B234)="","食材名がありません",IF(ISNA(MATCH(B234,'食材の単価'!$A$5:$A$204,0)),"食材の単価に無い食材です",IF(NOT(ISNUMBER(C234)),"使用量がありません",IF(NOT(ISNUMBER(E234)),"食材の単価が出ていません（仕入価格・仕入量）","")))))))</f>
        <v/>
      </c>
    </row>
    <row r="235" ht="16" customHeight="1">
      <c r="A235" s="38" t="n"/>
      <c r="B235" s="38" t="n"/>
      <c r="C235" s="39" t="n"/>
      <c r="D235" s="53">
        <f>IF(B235="","",IFERROR(INDEX('食材の単価'!$D$5:$D$204,MATCH(B235,'食材の単価'!$A$5:$A$204,0))&amp;"",""))</f>
        <v/>
      </c>
      <c r="E235" s="80">
        <f>IF(B235="","",IFERROR(INDEX('食材の単価'!$G$5:$G$204,MATCH(B235,'食材の単価'!$A$5:$A$204,0)),""))</f>
        <v/>
      </c>
      <c r="F235" s="78">
        <f>IF(AND(ISNUMBER(C235),ISNUMBER(E235)),C235*E235,"")</f>
        <v/>
      </c>
      <c r="G235" s="33" t="n"/>
      <c r="H235" s="34">
        <f>IF(COUNTA(A235:C235,G235)=0,"",IF(TRIM(A235)="","メニュー名がありません",IF(ISNA(MATCH(A235,'メニュー原価率'!$A$8:$A$107,0)),"メニュー原価率に無いメニューです",IF(TRIM(B235)="","食材名がありません",IF(ISNA(MATCH(B235,'食材の単価'!$A$5:$A$204,0)),"食材の単価に無い食材です",IF(NOT(ISNUMBER(C235)),"使用量がありません",IF(NOT(ISNUMBER(E235)),"食材の単価が出ていません（仕入価格・仕入量）","")))))))</f>
        <v/>
      </c>
    </row>
    <row r="236" ht="16" customHeight="1">
      <c r="A236" s="38" t="n"/>
      <c r="B236" s="38" t="n"/>
      <c r="C236" s="39" t="n"/>
      <c r="D236" s="53">
        <f>IF(B236="","",IFERROR(INDEX('食材の単価'!$D$5:$D$204,MATCH(B236,'食材の単価'!$A$5:$A$204,0))&amp;"",""))</f>
        <v/>
      </c>
      <c r="E236" s="80">
        <f>IF(B236="","",IFERROR(INDEX('食材の単価'!$G$5:$G$204,MATCH(B236,'食材の単価'!$A$5:$A$204,0)),""))</f>
        <v/>
      </c>
      <c r="F236" s="78">
        <f>IF(AND(ISNUMBER(C236),ISNUMBER(E236)),C236*E236,"")</f>
        <v/>
      </c>
      <c r="G236" s="33" t="n"/>
      <c r="H236" s="34">
        <f>IF(COUNTA(A236:C236,G236)=0,"",IF(TRIM(A236)="","メニュー名がありません",IF(ISNA(MATCH(A236,'メニュー原価率'!$A$8:$A$107,0)),"メニュー原価率に無いメニューです",IF(TRIM(B236)="","食材名がありません",IF(ISNA(MATCH(B236,'食材の単価'!$A$5:$A$204,0)),"食材の単価に無い食材です",IF(NOT(ISNUMBER(C236)),"使用量がありません",IF(NOT(ISNUMBER(E236)),"食材の単価が出ていません（仕入価格・仕入量）","")))))))</f>
        <v/>
      </c>
    </row>
    <row r="237" ht="16" customHeight="1">
      <c r="A237" s="38" t="n"/>
      <c r="B237" s="38" t="n"/>
      <c r="C237" s="39" t="n"/>
      <c r="D237" s="53">
        <f>IF(B237="","",IFERROR(INDEX('食材の単価'!$D$5:$D$204,MATCH(B237,'食材の単価'!$A$5:$A$204,0))&amp;"",""))</f>
        <v/>
      </c>
      <c r="E237" s="80">
        <f>IF(B237="","",IFERROR(INDEX('食材の単価'!$G$5:$G$204,MATCH(B237,'食材の単価'!$A$5:$A$204,0)),""))</f>
        <v/>
      </c>
      <c r="F237" s="78">
        <f>IF(AND(ISNUMBER(C237),ISNUMBER(E237)),C237*E237,"")</f>
        <v/>
      </c>
      <c r="G237" s="33" t="n"/>
      <c r="H237" s="34">
        <f>IF(COUNTA(A237:C237,G237)=0,"",IF(TRIM(A237)="","メニュー名がありません",IF(ISNA(MATCH(A237,'メニュー原価率'!$A$8:$A$107,0)),"メニュー原価率に無いメニューです",IF(TRIM(B237)="","食材名がありません",IF(ISNA(MATCH(B237,'食材の単価'!$A$5:$A$204,0)),"食材の単価に無い食材です",IF(NOT(ISNUMBER(C237)),"使用量がありません",IF(NOT(ISNUMBER(E237)),"食材の単価が出ていません（仕入価格・仕入量）","")))))))</f>
        <v/>
      </c>
    </row>
    <row r="238" ht="16" customHeight="1">
      <c r="A238" s="38" t="n"/>
      <c r="B238" s="38" t="n"/>
      <c r="C238" s="39" t="n"/>
      <c r="D238" s="53">
        <f>IF(B238="","",IFERROR(INDEX('食材の単価'!$D$5:$D$204,MATCH(B238,'食材の単価'!$A$5:$A$204,0))&amp;"",""))</f>
        <v/>
      </c>
      <c r="E238" s="80">
        <f>IF(B238="","",IFERROR(INDEX('食材の単価'!$G$5:$G$204,MATCH(B238,'食材の単価'!$A$5:$A$204,0)),""))</f>
        <v/>
      </c>
      <c r="F238" s="78">
        <f>IF(AND(ISNUMBER(C238),ISNUMBER(E238)),C238*E238,"")</f>
        <v/>
      </c>
      <c r="G238" s="33" t="n"/>
      <c r="H238" s="34">
        <f>IF(COUNTA(A238:C238,G238)=0,"",IF(TRIM(A238)="","メニュー名がありません",IF(ISNA(MATCH(A238,'メニュー原価率'!$A$8:$A$107,0)),"メニュー原価率に無いメニューです",IF(TRIM(B238)="","食材名がありません",IF(ISNA(MATCH(B238,'食材の単価'!$A$5:$A$204,0)),"食材の単価に無い食材です",IF(NOT(ISNUMBER(C238)),"使用量がありません",IF(NOT(ISNUMBER(E238)),"食材の単価が出ていません（仕入価格・仕入量）","")))))))</f>
        <v/>
      </c>
    </row>
    <row r="239" ht="16" customHeight="1">
      <c r="A239" s="38" t="n"/>
      <c r="B239" s="38" t="n"/>
      <c r="C239" s="39" t="n"/>
      <c r="D239" s="53">
        <f>IF(B239="","",IFERROR(INDEX('食材の単価'!$D$5:$D$204,MATCH(B239,'食材の単価'!$A$5:$A$204,0))&amp;"",""))</f>
        <v/>
      </c>
      <c r="E239" s="80">
        <f>IF(B239="","",IFERROR(INDEX('食材の単価'!$G$5:$G$204,MATCH(B239,'食材の単価'!$A$5:$A$204,0)),""))</f>
        <v/>
      </c>
      <c r="F239" s="78">
        <f>IF(AND(ISNUMBER(C239),ISNUMBER(E239)),C239*E239,"")</f>
        <v/>
      </c>
      <c r="G239" s="33" t="n"/>
      <c r="H239" s="34">
        <f>IF(COUNTA(A239:C239,G239)=0,"",IF(TRIM(A239)="","メニュー名がありません",IF(ISNA(MATCH(A239,'メニュー原価率'!$A$8:$A$107,0)),"メニュー原価率に無いメニューです",IF(TRIM(B239)="","食材名がありません",IF(ISNA(MATCH(B239,'食材の単価'!$A$5:$A$204,0)),"食材の単価に無い食材です",IF(NOT(ISNUMBER(C239)),"使用量がありません",IF(NOT(ISNUMBER(E239)),"食材の単価が出ていません（仕入価格・仕入量）","")))))))</f>
        <v/>
      </c>
    </row>
    <row r="240" ht="16" customHeight="1">
      <c r="A240" s="38" t="n"/>
      <c r="B240" s="38" t="n"/>
      <c r="C240" s="39" t="n"/>
      <c r="D240" s="53">
        <f>IF(B240="","",IFERROR(INDEX('食材の単価'!$D$5:$D$204,MATCH(B240,'食材の単価'!$A$5:$A$204,0))&amp;"",""))</f>
        <v/>
      </c>
      <c r="E240" s="80">
        <f>IF(B240="","",IFERROR(INDEX('食材の単価'!$G$5:$G$204,MATCH(B240,'食材の単価'!$A$5:$A$204,0)),""))</f>
        <v/>
      </c>
      <c r="F240" s="78">
        <f>IF(AND(ISNUMBER(C240),ISNUMBER(E240)),C240*E240,"")</f>
        <v/>
      </c>
      <c r="G240" s="33" t="n"/>
      <c r="H240" s="34">
        <f>IF(COUNTA(A240:C240,G240)=0,"",IF(TRIM(A240)="","メニュー名がありません",IF(ISNA(MATCH(A240,'メニュー原価率'!$A$8:$A$107,0)),"メニュー原価率に無いメニューです",IF(TRIM(B240)="","食材名がありません",IF(ISNA(MATCH(B240,'食材の単価'!$A$5:$A$204,0)),"食材の単価に無い食材です",IF(NOT(ISNUMBER(C240)),"使用量がありません",IF(NOT(ISNUMBER(E240)),"食材の単価が出ていません（仕入価格・仕入量）","")))))))</f>
        <v/>
      </c>
    </row>
    <row r="241" ht="16" customHeight="1">
      <c r="A241" s="38" t="n"/>
      <c r="B241" s="38" t="n"/>
      <c r="C241" s="39" t="n"/>
      <c r="D241" s="53">
        <f>IF(B241="","",IFERROR(INDEX('食材の単価'!$D$5:$D$204,MATCH(B241,'食材の単価'!$A$5:$A$204,0))&amp;"",""))</f>
        <v/>
      </c>
      <c r="E241" s="80">
        <f>IF(B241="","",IFERROR(INDEX('食材の単価'!$G$5:$G$204,MATCH(B241,'食材の単価'!$A$5:$A$204,0)),""))</f>
        <v/>
      </c>
      <c r="F241" s="78">
        <f>IF(AND(ISNUMBER(C241),ISNUMBER(E241)),C241*E241,"")</f>
        <v/>
      </c>
      <c r="G241" s="33" t="n"/>
      <c r="H241" s="34">
        <f>IF(COUNTA(A241:C241,G241)=0,"",IF(TRIM(A241)="","メニュー名がありません",IF(ISNA(MATCH(A241,'メニュー原価率'!$A$8:$A$107,0)),"メニュー原価率に無いメニューです",IF(TRIM(B241)="","食材名がありません",IF(ISNA(MATCH(B241,'食材の単価'!$A$5:$A$204,0)),"食材の単価に無い食材です",IF(NOT(ISNUMBER(C241)),"使用量がありません",IF(NOT(ISNUMBER(E241)),"食材の単価が出ていません（仕入価格・仕入量）","")))))))</f>
        <v/>
      </c>
    </row>
    <row r="242" ht="16" customHeight="1">
      <c r="A242" s="38" t="n"/>
      <c r="B242" s="38" t="n"/>
      <c r="C242" s="39" t="n"/>
      <c r="D242" s="53">
        <f>IF(B242="","",IFERROR(INDEX('食材の単価'!$D$5:$D$204,MATCH(B242,'食材の単価'!$A$5:$A$204,0))&amp;"",""))</f>
        <v/>
      </c>
      <c r="E242" s="80">
        <f>IF(B242="","",IFERROR(INDEX('食材の単価'!$G$5:$G$204,MATCH(B242,'食材の単価'!$A$5:$A$204,0)),""))</f>
        <v/>
      </c>
      <c r="F242" s="78">
        <f>IF(AND(ISNUMBER(C242),ISNUMBER(E242)),C242*E242,"")</f>
        <v/>
      </c>
      <c r="G242" s="33" t="n"/>
      <c r="H242" s="34">
        <f>IF(COUNTA(A242:C242,G242)=0,"",IF(TRIM(A242)="","メニュー名がありません",IF(ISNA(MATCH(A242,'メニュー原価率'!$A$8:$A$107,0)),"メニュー原価率に無いメニューです",IF(TRIM(B242)="","食材名がありません",IF(ISNA(MATCH(B242,'食材の単価'!$A$5:$A$204,0)),"食材の単価に無い食材です",IF(NOT(ISNUMBER(C242)),"使用量がありません",IF(NOT(ISNUMBER(E242)),"食材の単価が出ていません（仕入価格・仕入量）","")))))))</f>
        <v/>
      </c>
    </row>
    <row r="243" ht="16" customHeight="1">
      <c r="A243" s="38" t="n"/>
      <c r="B243" s="38" t="n"/>
      <c r="C243" s="39" t="n"/>
      <c r="D243" s="53">
        <f>IF(B243="","",IFERROR(INDEX('食材の単価'!$D$5:$D$204,MATCH(B243,'食材の単価'!$A$5:$A$204,0))&amp;"",""))</f>
        <v/>
      </c>
      <c r="E243" s="80">
        <f>IF(B243="","",IFERROR(INDEX('食材の単価'!$G$5:$G$204,MATCH(B243,'食材の単価'!$A$5:$A$204,0)),""))</f>
        <v/>
      </c>
      <c r="F243" s="78">
        <f>IF(AND(ISNUMBER(C243),ISNUMBER(E243)),C243*E243,"")</f>
        <v/>
      </c>
      <c r="G243" s="33" t="n"/>
      <c r="H243" s="34">
        <f>IF(COUNTA(A243:C243,G243)=0,"",IF(TRIM(A243)="","メニュー名がありません",IF(ISNA(MATCH(A243,'メニュー原価率'!$A$8:$A$107,0)),"メニュー原価率に無いメニューです",IF(TRIM(B243)="","食材名がありません",IF(ISNA(MATCH(B243,'食材の単価'!$A$5:$A$204,0)),"食材の単価に無い食材です",IF(NOT(ISNUMBER(C243)),"使用量がありません",IF(NOT(ISNUMBER(E243)),"食材の単価が出ていません（仕入価格・仕入量）","")))))))</f>
        <v/>
      </c>
    </row>
    <row r="244" ht="16" customHeight="1">
      <c r="A244" s="38" t="n"/>
      <c r="B244" s="38" t="n"/>
      <c r="C244" s="39" t="n"/>
      <c r="D244" s="53">
        <f>IF(B244="","",IFERROR(INDEX('食材の単価'!$D$5:$D$204,MATCH(B244,'食材の単価'!$A$5:$A$204,0))&amp;"",""))</f>
        <v/>
      </c>
      <c r="E244" s="80">
        <f>IF(B244="","",IFERROR(INDEX('食材の単価'!$G$5:$G$204,MATCH(B244,'食材の単価'!$A$5:$A$204,0)),""))</f>
        <v/>
      </c>
      <c r="F244" s="78">
        <f>IF(AND(ISNUMBER(C244),ISNUMBER(E244)),C244*E244,"")</f>
        <v/>
      </c>
      <c r="G244" s="33" t="n"/>
      <c r="H244" s="34">
        <f>IF(COUNTA(A244:C244,G244)=0,"",IF(TRIM(A244)="","メニュー名がありません",IF(ISNA(MATCH(A244,'メニュー原価率'!$A$8:$A$107,0)),"メニュー原価率に無いメニューです",IF(TRIM(B244)="","食材名がありません",IF(ISNA(MATCH(B244,'食材の単価'!$A$5:$A$204,0)),"食材の単価に無い食材です",IF(NOT(ISNUMBER(C244)),"使用量がありません",IF(NOT(ISNUMBER(E244)),"食材の単価が出ていません（仕入価格・仕入量）","")))))))</f>
        <v/>
      </c>
    </row>
    <row r="245" ht="16" customHeight="1">
      <c r="A245" s="38" t="n"/>
      <c r="B245" s="38" t="n"/>
      <c r="C245" s="39" t="n"/>
      <c r="D245" s="53">
        <f>IF(B245="","",IFERROR(INDEX('食材の単価'!$D$5:$D$204,MATCH(B245,'食材の単価'!$A$5:$A$204,0))&amp;"",""))</f>
        <v/>
      </c>
      <c r="E245" s="80">
        <f>IF(B245="","",IFERROR(INDEX('食材の単価'!$G$5:$G$204,MATCH(B245,'食材の単価'!$A$5:$A$204,0)),""))</f>
        <v/>
      </c>
      <c r="F245" s="78">
        <f>IF(AND(ISNUMBER(C245),ISNUMBER(E245)),C245*E245,"")</f>
        <v/>
      </c>
      <c r="G245" s="33" t="n"/>
      <c r="H245" s="34">
        <f>IF(COUNTA(A245:C245,G245)=0,"",IF(TRIM(A245)="","メニュー名がありません",IF(ISNA(MATCH(A245,'メニュー原価率'!$A$8:$A$107,0)),"メニュー原価率に無いメニューです",IF(TRIM(B245)="","食材名がありません",IF(ISNA(MATCH(B245,'食材の単価'!$A$5:$A$204,0)),"食材の単価に無い食材です",IF(NOT(ISNUMBER(C245)),"使用量がありません",IF(NOT(ISNUMBER(E245)),"食材の単価が出ていません（仕入価格・仕入量）","")))))))</f>
        <v/>
      </c>
    </row>
    <row r="246" ht="16" customHeight="1">
      <c r="A246" s="38" t="n"/>
      <c r="B246" s="38" t="n"/>
      <c r="C246" s="39" t="n"/>
      <c r="D246" s="53">
        <f>IF(B246="","",IFERROR(INDEX('食材の単価'!$D$5:$D$204,MATCH(B246,'食材の単価'!$A$5:$A$204,0))&amp;"",""))</f>
        <v/>
      </c>
      <c r="E246" s="80">
        <f>IF(B246="","",IFERROR(INDEX('食材の単価'!$G$5:$G$204,MATCH(B246,'食材の単価'!$A$5:$A$204,0)),""))</f>
        <v/>
      </c>
      <c r="F246" s="78">
        <f>IF(AND(ISNUMBER(C246),ISNUMBER(E246)),C246*E246,"")</f>
        <v/>
      </c>
      <c r="G246" s="33" t="n"/>
      <c r="H246" s="34">
        <f>IF(COUNTA(A246:C246,G246)=0,"",IF(TRIM(A246)="","メニュー名がありません",IF(ISNA(MATCH(A246,'メニュー原価率'!$A$8:$A$107,0)),"メニュー原価率に無いメニューです",IF(TRIM(B246)="","食材名がありません",IF(ISNA(MATCH(B246,'食材の単価'!$A$5:$A$204,0)),"食材の単価に無い食材です",IF(NOT(ISNUMBER(C246)),"使用量がありません",IF(NOT(ISNUMBER(E246)),"食材の単価が出ていません（仕入価格・仕入量）","")))))))</f>
        <v/>
      </c>
    </row>
    <row r="247" ht="16" customHeight="1">
      <c r="A247" s="38" t="n"/>
      <c r="B247" s="38" t="n"/>
      <c r="C247" s="39" t="n"/>
      <c r="D247" s="53">
        <f>IF(B247="","",IFERROR(INDEX('食材の単価'!$D$5:$D$204,MATCH(B247,'食材の単価'!$A$5:$A$204,0))&amp;"",""))</f>
        <v/>
      </c>
      <c r="E247" s="80">
        <f>IF(B247="","",IFERROR(INDEX('食材の単価'!$G$5:$G$204,MATCH(B247,'食材の単価'!$A$5:$A$204,0)),""))</f>
        <v/>
      </c>
      <c r="F247" s="78">
        <f>IF(AND(ISNUMBER(C247),ISNUMBER(E247)),C247*E247,"")</f>
        <v/>
      </c>
      <c r="G247" s="33" t="n"/>
      <c r="H247" s="34">
        <f>IF(COUNTA(A247:C247,G247)=0,"",IF(TRIM(A247)="","メニュー名がありません",IF(ISNA(MATCH(A247,'メニュー原価率'!$A$8:$A$107,0)),"メニュー原価率に無いメニューです",IF(TRIM(B247)="","食材名がありません",IF(ISNA(MATCH(B247,'食材の単価'!$A$5:$A$204,0)),"食材の単価に無い食材です",IF(NOT(ISNUMBER(C247)),"使用量がありません",IF(NOT(ISNUMBER(E247)),"食材の単価が出ていません（仕入価格・仕入量）","")))))))</f>
        <v/>
      </c>
    </row>
    <row r="248" ht="16" customHeight="1">
      <c r="A248" s="38" t="n"/>
      <c r="B248" s="38" t="n"/>
      <c r="C248" s="39" t="n"/>
      <c r="D248" s="53">
        <f>IF(B248="","",IFERROR(INDEX('食材の単価'!$D$5:$D$204,MATCH(B248,'食材の単価'!$A$5:$A$204,0))&amp;"",""))</f>
        <v/>
      </c>
      <c r="E248" s="80">
        <f>IF(B248="","",IFERROR(INDEX('食材の単価'!$G$5:$G$204,MATCH(B248,'食材の単価'!$A$5:$A$204,0)),""))</f>
        <v/>
      </c>
      <c r="F248" s="78">
        <f>IF(AND(ISNUMBER(C248),ISNUMBER(E248)),C248*E248,"")</f>
        <v/>
      </c>
      <c r="G248" s="33" t="n"/>
      <c r="H248" s="34">
        <f>IF(COUNTA(A248:C248,G248)=0,"",IF(TRIM(A248)="","メニュー名がありません",IF(ISNA(MATCH(A248,'メニュー原価率'!$A$8:$A$107,0)),"メニュー原価率に無いメニューです",IF(TRIM(B248)="","食材名がありません",IF(ISNA(MATCH(B248,'食材の単価'!$A$5:$A$204,0)),"食材の単価に無い食材です",IF(NOT(ISNUMBER(C248)),"使用量がありません",IF(NOT(ISNUMBER(E248)),"食材の単価が出ていません（仕入価格・仕入量）","")))))))</f>
        <v/>
      </c>
    </row>
    <row r="249" ht="16" customHeight="1">
      <c r="A249" s="38" t="n"/>
      <c r="B249" s="38" t="n"/>
      <c r="C249" s="39" t="n"/>
      <c r="D249" s="53">
        <f>IF(B249="","",IFERROR(INDEX('食材の単価'!$D$5:$D$204,MATCH(B249,'食材の単価'!$A$5:$A$204,0))&amp;"",""))</f>
        <v/>
      </c>
      <c r="E249" s="80">
        <f>IF(B249="","",IFERROR(INDEX('食材の単価'!$G$5:$G$204,MATCH(B249,'食材の単価'!$A$5:$A$204,0)),""))</f>
        <v/>
      </c>
      <c r="F249" s="78">
        <f>IF(AND(ISNUMBER(C249),ISNUMBER(E249)),C249*E249,"")</f>
        <v/>
      </c>
      <c r="G249" s="33" t="n"/>
      <c r="H249" s="34">
        <f>IF(COUNTA(A249:C249,G249)=0,"",IF(TRIM(A249)="","メニュー名がありません",IF(ISNA(MATCH(A249,'メニュー原価率'!$A$8:$A$107,0)),"メニュー原価率に無いメニューです",IF(TRIM(B249)="","食材名がありません",IF(ISNA(MATCH(B249,'食材の単価'!$A$5:$A$204,0)),"食材の単価に無い食材です",IF(NOT(ISNUMBER(C249)),"使用量がありません",IF(NOT(ISNUMBER(E249)),"食材の単価が出ていません（仕入価格・仕入量）","")))))))</f>
        <v/>
      </c>
    </row>
    <row r="250" ht="16" customHeight="1">
      <c r="A250" s="38" t="n"/>
      <c r="B250" s="38" t="n"/>
      <c r="C250" s="39" t="n"/>
      <c r="D250" s="53">
        <f>IF(B250="","",IFERROR(INDEX('食材の単価'!$D$5:$D$204,MATCH(B250,'食材の単価'!$A$5:$A$204,0))&amp;"",""))</f>
        <v/>
      </c>
      <c r="E250" s="80">
        <f>IF(B250="","",IFERROR(INDEX('食材の単価'!$G$5:$G$204,MATCH(B250,'食材の単価'!$A$5:$A$204,0)),""))</f>
        <v/>
      </c>
      <c r="F250" s="78">
        <f>IF(AND(ISNUMBER(C250),ISNUMBER(E250)),C250*E250,"")</f>
        <v/>
      </c>
      <c r="G250" s="33" t="n"/>
      <c r="H250" s="34">
        <f>IF(COUNTA(A250:C250,G250)=0,"",IF(TRIM(A250)="","メニュー名がありません",IF(ISNA(MATCH(A250,'メニュー原価率'!$A$8:$A$107,0)),"メニュー原価率に無いメニューです",IF(TRIM(B250)="","食材名がありません",IF(ISNA(MATCH(B250,'食材の単価'!$A$5:$A$204,0)),"食材の単価に無い食材です",IF(NOT(ISNUMBER(C250)),"使用量がありません",IF(NOT(ISNUMBER(E250)),"食材の単価が出ていません（仕入価格・仕入量）","")))))))</f>
        <v/>
      </c>
    </row>
    <row r="251" ht="16" customHeight="1">
      <c r="A251" s="38" t="n"/>
      <c r="B251" s="38" t="n"/>
      <c r="C251" s="39" t="n"/>
      <c r="D251" s="53">
        <f>IF(B251="","",IFERROR(INDEX('食材の単価'!$D$5:$D$204,MATCH(B251,'食材の単価'!$A$5:$A$204,0))&amp;"",""))</f>
        <v/>
      </c>
      <c r="E251" s="80">
        <f>IF(B251="","",IFERROR(INDEX('食材の単価'!$G$5:$G$204,MATCH(B251,'食材の単価'!$A$5:$A$204,0)),""))</f>
        <v/>
      </c>
      <c r="F251" s="78">
        <f>IF(AND(ISNUMBER(C251),ISNUMBER(E251)),C251*E251,"")</f>
        <v/>
      </c>
      <c r="G251" s="33" t="n"/>
      <c r="H251" s="34">
        <f>IF(COUNTA(A251:C251,G251)=0,"",IF(TRIM(A251)="","メニュー名がありません",IF(ISNA(MATCH(A251,'メニュー原価率'!$A$8:$A$107,0)),"メニュー原価率に無いメニューです",IF(TRIM(B251)="","食材名がありません",IF(ISNA(MATCH(B251,'食材の単価'!$A$5:$A$204,0)),"食材の単価に無い食材です",IF(NOT(ISNUMBER(C251)),"使用量がありません",IF(NOT(ISNUMBER(E251)),"食材の単価が出ていません（仕入価格・仕入量）","")))))))</f>
        <v/>
      </c>
    </row>
    <row r="252" ht="16" customHeight="1">
      <c r="A252" s="38" t="n"/>
      <c r="B252" s="38" t="n"/>
      <c r="C252" s="39" t="n"/>
      <c r="D252" s="53">
        <f>IF(B252="","",IFERROR(INDEX('食材の単価'!$D$5:$D$204,MATCH(B252,'食材の単価'!$A$5:$A$204,0))&amp;"",""))</f>
        <v/>
      </c>
      <c r="E252" s="80">
        <f>IF(B252="","",IFERROR(INDEX('食材の単価'!$G$5:$G$204,MATCH(B252,'食材の単価'!$A$5:$A$204,0)),""))</f>
        <v/>
      </c>
      <c r="F252" s="78">
        <f>IF(AND(ISNUMBER(C252),ISNUMBER(E252)),C252*E252,"")</f>
        <v/>
      </c>
      <c r="G252" s="33" t="n"/>
      <c r="H252" s="34">
        <f>IF(COUNTA(A252:C252,G252)=0,"",IF(TRIM(A252)="","メニュー名がありません",IF(ISNA(MATCH(A252,'メニュー原価率'!$A$8:$A$107,0)),"メニュー原価率に無いメニューです",IF(TRIM(B252)="","食材名がありません",IF(ISNA(MATCH(B252,'食材の単価'!$A$5:$A$204,0)),"食材の単価に無い食材です",IF(NOT(ISNUMBER(C252)),"使用量がありません",IF(NOT(ISNUMBER(E252)),"食材の単価が出ていません（仕入価格・仕入量）","")))))))</f>
        <v/>
      </c>
    </row>
    <row r="253" ht="16" customHeight="1">
      <c r="A253" s="38" t="n"/>
      <c r="B253" s="38" t="n"/>
      <c r="C253" s="39" t="n"/>
      <c r="D253" s="53">
        <f>IF(B253="","",IFERROR(INDEX('食材の単価'!$D$5:$D$204,MATCH(B253,'食材の単価'!$A$5:$A$204,0))&amp;"",""))</f>
        <v/>
      </c>
      <c r="E253" s="80">
        <f>IF(B253="","",IFERROR(INDEX('食材の単価'!$G$5:$G$204,MATCH(B253,'食材の単価'!$A$5:$A$204,0)),""))</f>
        <v/>
      </c>
      <c r="F253" s="78">
        <f>IF(AND(ISNUMBER(C253),ISNUMBER(E253)),C253*E253,"")</f>
        <v/>
      </c>
      <c r="G253" s="33" t="n"/>
      <c r="H253" s="34">
        <f>IF(COUNTA(A253:C253,G253)=0,"",IF(TRIM(A253)="","メニュー名がありません",IF(ISNA(MATCH(A253,'メニュー原価率'!$A$8:$A$107,0)),"メニュー原価率に無いメニューです",IF(TRIM(B253)="","食材名がありません",IF(ISNA(MATCH(B253,'食材の単価'!$A$5:$A$204,0)),"食材の単価に無い食材です",IF(NOT(ISNUMBER(C253)),"使用量がありません",IF(NOT(ISNUMBER(E253)),"食材の単価が出ていません（仕入価格・仕入量）","")))))))</f>
        <v/>
      </c>
    </row>
    <row r="254" ht="16" customHeight="1">
      <c r="A254" s="38" t="n"/>
      <c r="B254" s="38" t="n"/>
      <c r="C254" s="39" t="n"/>
      <c r="D254" s="53">
        <f>IF(B254="","",IFERROR(INDEX('食材の単価'!$D$5:$D$204,MATCH(B254,'食材の単価'!$A$5:$A$204,0))&amp;"",""))</f>
        <v/>
      </c>
      <c r="E254" s="80">
        <f>IF(B254="","",IFERROR(INDEX('食材の単価'!$G$5:$G$204,MATCH(B254,'食材の単価'!$A$5:$A$204,0)),""))</f>
        <v/>
      </c>
      <c r="F254" s="78">
        <f>IF(AND(ISNUMBER(C254),ISNUMBER(E254)),C254*E254,"")</f>
        <v/>
      </c>
      <c r="G254" s="33" t="n"/>
      <c r="H254" s="34">
        <f>IF(COUNTA(A254:C254,G254)=0,"",IF(TRIM(A254)="","メニュー名がありません",IF(ISNA(MATCH(A254,'メニュー原価率'!$A$8:$A$107,0)),"メニュー原価率に無いメニューです",IF(TRIM(B254)="","食材名がありません",IF(ISNA(MATCH(B254,'食材の単価'!$A$5:$A$204,0)),"食材の単価に無い食材です",IF(NOT(ISNUMBER(C254)),"使用量がありません",IF(NOT(ISNUMBER(E254)),"食材の単価が出ていません（仕入価格・仕入量）","")))))))</f>
        <v/>
      </c>
    </row>
    <row r="255" ht="16" customHeight="1">
      <c r="A255" s="38" t="n"/>
      <c r="B255" s="38" t="n"/>
      <c r="C255" s="39" t="n"/>
      <c r="D255" s="53">
        <f>IF(B255="","",IFERROR(INDEX('食材の単価'!$D$5:$D$204,MATCH(B255,'食材の単価'!$A$5:$A$204,0))&amp;"",""))</f>
        <v/>
      </c>
      <c r="E255" s="80">
        <f>IF(B255="","",IFERROR(INDEX('食材の単価'!$G$5:$G$204,MATCH(B255,'食材の単価'!$A$5:$A$204,0)),""))</f>
        <v/>
      </c>
      <c r="F255" s="78">
        <f>IF(AND(ISNUMBER(C255),ISNUMBER(E255)),C255*E255,"")</f>
        <v/>
      </c>
      <c r="G255" s="33" t="n"/>
      <c r="H255" s="34">
        <f>IF(COUNTA(A255:C255,G255)=0,"",IF(TRIM(A255)="","メニュー名がありません",IF(ISNA(MATCH(A255,'メニュー原価率'!$A$8:$A$107,0)),"メニュー原価率に無いメニューです",IF(TRIM(B255)="","食材名がありません",IF(ISNA(MATCH(B255,'食材の単価'!$A$5:$A$204,0)),"食材の単価に無い食材です",IF(NOT(ISNUMBER(C255)),"使用量がありません",IF(NOT(ISNUMBER(E255)),"食材の単価が出ていません（仕入価格・仕入量）","")))))))</f>
        <v/>
      </c>
    </row>
    <row r="256" ht="16" customHeight="1">
      <c r="A256" s="38" t="n"/>
      <c r="B256" s="38" t="n"/>
      <c r="C256" s="39" t="n"/>
      <c r="D256" s="53">
        <f>IF(B256="","",IFERROR(INDEX('食材の単価'!$D$5:$D$204,MATCH(B256,'食材の単価'!$A$5:$A$204,0))&amp;"",""))</f>
        <v/>
      </c>
      <c r="E256" s="80">
        <f>IF(B256="","",IFERROR(INDEX('食材の単価'!$G$5:$G$204,MATCH(B256,'食材の単価'!$A$5:$A$204,0)),""))</f>
        <v/>
      </c>
      <c r="F256" s="78">
        <f>IF(AND(ISNUMBER(C256),ISNUMBER(E256)),C256*E256,"")</f>
        <v/>
      </c>
      <c r="G256" s="33" t="n"/>
      <c r="H256" s="34">
        <f>IF(COUNTA(A256:C256,G256)=0,"",IF(TRIM(A256)="","メニュー名がありません",IF(ISNA(MATCH(A256,'メニュー原価率'!$A$8:$A$107,0)),"メニュー原価率に無いメニューです",IF(TRIM(B256)="","食材名がありません",IF(ISNA(MATCH(B256,'食材の単価'!$A$5:$A$204,0)),"食材の単価に無い食材です",IF(NOT(ISNUMBER(C256)),"使用量がありません",IF(NOT(ISNUMBER(E256)),"食材の単価が出ていません（仕入価格・仕入量）","")))))))</f>
        <v/>
      </c>
    </row>
    <row r="257" ht="16" customHeight="1">
      <c r="A257" s="38" t="n"/>
      <c r="B257" s="38" t="n"/>
      <c r="C257" s="39" t="n"/>
      <c r="D257" s="53">
        <f>IF(B257="","",IFERROR(INDEX('食材の単価'!$D$5:$D$204,MATCH(B257,'食材の単価'!$A$5:$A$204,0))&amp;"",""))</f>
        <v/>
      </c>
      <c r="E257" s="80">
        <f>IF(B257="","",IFERROR(INDEX('食材の単価'!$G$5:$G$204,MATCH(B257,'食材の単価'!$A$5:$A$204,0)),""))</f>
        <v/>
      </c>
      <c r="F257" s="78">
        <f>IF(AND(ISNUMBER(C257),ISNUMBER(E257)),C257*E257,"")</f>
        <v/>
      </c>
      <c r="G257" s="33" t="n"/>
      <c r="H257" s="34">
        <f>IF(COUNTA(A257:C257,G257)=0,"",IF(TRIM(A257)="","メニュー名がありません",IF(ISNA(MATCH(A257,'メニュー原価率'!$A$8:$A$107,0)),"メニュー原価率に無いメニューです",IF(TRIM(B257)="","食材名がありません",IF(ISNA(MATCH(B257,'食材の単価'!$A$5:$A$204,0)),"食材の単価に無い食材です",IF(NOT(ISNUMBER(C257)),"使用量がありません",IF(NOT(ISNUMBER(E257)),"食材の単価が出ていません（仕入価格・仕入量）","")))))))</f>
        <v/>
      </c>
    </row>
    <row r="258" ht="16" customHeight="1">
      <c r="A258" s="38" t="n"/>
      <c r="B258" s="38" t="n"/>
      <c r="C258" s="39" t="n"/>
      <c r="D258" s="53">
        <f>IF(B258="","",IFERROR(INDEX('食材の単価'!$D$5:$D$204,MATCH(B258,'食材の単価'!$A$5:$A$204,0))&amp;"",""))</f>
        <v/>
      </c>
      <c r="E258" s="80">
        <f>IF(B258="","",IFERROR(INDEX('食材の単価'!$G$5:$G$204,MATCH(B258,'食材の単価'!$A$5:$A$204,0)),""))</f>
        <v/>
      </c>
      <c r="F258" s="78">
        <f>IF(AND(ISNUMBER(C258),ISNUMBER(E258)),C258*E258,"")</f>
        <v/>
      </c>
      <c r="G258" s="33" t="n"/>
      <c r="H258" s="34">
        <f>IF(COUNTA(A258:C258,G258)=0,"",IF(TRIM(A258)="","メニュー名がありません",IF(ISNA(MATCH(A258,'メニュー原価率'!$A$8:$A$107,0)),"メニュー原価率に無いメニューです",IF(TRIM(B258)="","食材名がありません",IF(ISNA(MATCH(B258,'食材の単価'!$A$5:$A$204,0)),"食材の単価に無い食材です",IF(NOT(ISNUMBER(C258)),"使用量がありません",IF(NOT(ISNUMBER(E258)),"食材の単価が出ていません（仕入価格・仕入量）","")))))))</f>
        <v/>
      </c>
    </row>
    <row r="259" ht="16" customHeight="1">
      <c r="A259" s="38" t="n"/>
      <c r="B259" s="38" t="n"/>
      <c r="C259" s="39" t="n"/>
      <c r="D259" s="53">
        <f>IF(B259="","",IFERROR(INDEX('食材の単価'!$D$5:$D$204,MATCH(B259,'食材の単価'!$A$5:$A$204,0))&amp;"",""))</f>
        <v/>
      </c>
      <c r="E259" s="80">
        <f>IF(B259="","",IFERROR(INDEX('食材の単価'!$G$5:$G$204,MATCH(B259,'食材の単価'!$A$5:$A$204,0)),""))</f>
        <v/>
      </c>
      <c r="F259" s="78">
        <f>IF(AND(ISNUMBER(C259),ISNUMBER(E259)),C259*E259,"")</f>
        <v/>
      </c>
      <c r="G259" s="33" t="n"/>
      <c r="H259" s="34">
        <f>IF(COUNTA(A259:C259,G259)=0,"",IF(TRIM(A259)="","メニュー名がありません",IF(ISNA(MATCH(A259,'メニュー原価率'!$A$8:$A$107,0)),"メニュー原価率に無いメニューです",IF(TRIM(B259)="","食材名がありません",IF(ISNA(MATCH(B259,'食材の単価'!$A$5:$A$204,0)),"食材の単価に無い食材です",IF(NOT(ISNUMBER(C259)),"使用量がありません",IF(NOT(ISNUMBER(E259)),"食材の単価が出ていません（仕入価格・仕入量）","")))))))</f>
        <v/>
      </c>
    </row>
    <row r="260" ht="16" customHeight="1">
      <c r="A260" s="38" t="n"/>
      <c r="B260" s="38" t="n"/>
      <c r="C260" s="39" t="n"/>
      <c r="D260" s="53">
        <f>IF(B260="","",IFERROR(INDEX('食材の単価'!$D$5:$D$204,MATCH(B260,'食材の単価'!$A$5:$A$204,0))&amp;"",""))</f>
        <v/>
      </c>
      <c r="E260" s="80">
        <f>IF(B260="","",IFERROR(INDEX('食材の単価'!$G$5:$G$204,MATCH(B260,'食材の単価'!$A$5:$A$204,0)),""))</f>
        <v/>
      </c>
      <c r="F260" s="78">
        <f>IF(AND(ISNUMBER(C260),ISNUMBER(E260)),C260*E260,"")</f>
        <v/>
      </c>
      <c r="G260" s="33" t="n"/>
      <c r="H260" s="34">
        <f>IF(COUNTA(A260:C260,G260)=0,"",IF(TRIM(A260)="","メニュー名がありません",IF(ISNA(MATCH(A260,'メニュー原価率'!$A$8:$A$107,0)),"メニュー原価率に無いメニューです",IF(TRIM(B260)="","食材名がありません",IF(ISNA(MATCH(B260,'食材の単価'!$A$5:$A$204,0)),"食材の単価に無い食材です",IF(NOT(ISNUMBER(C260)),"使用量がありません",IF(NOT(ISNUMBER(E260)),"食材の単価が出ていません（仕入価格・仕入量）","")))))))</f>
        <v/>
      </c>
    </row>
    <row r="261" ht="16" customHeight="1">
      <c r="A261" s="38" t="n"/>
      <c r="B261" s="38" t="n"/>
      <c r="C261" s="39" t="n"/>
      <c r="D261" s="53">
        <f>IF(B261="","",IFERROR(INDEX('食材の単価'!$D$5:$D$204,MATCH(B261,'食材の単価'!$A$5:$A$204,0))&amp;"",""))</f>
        <v/>
      </c>
      <c r="E261" s="80">
        <f>IF(B261="","",IFERROR(INDEX('食材の単価'!$G$5:$G$204,MATCH(B261,'食材の単価'!$A$5:$A$204,0)),""))</f>
        <v/>
      </c>
      <c r="F261" s="78">
        <f>IF(AND(ISNUMBER(C261),ISNUMBER(E261)),C261*E261,"")</f>
        <v/>
      </c>
      <c r="G261" s="33" t="n"/>
      <c r="H261" s="34">
        <f>IF(COUNTA(A261:C261,G261)=0,"",IF(TRIM(A261)="","メニュー名がありません",IF(ISNA(MATCH(A261,'メニュー原価率'!$A$8:$A$107,0)),"メニュー原価率に無いメニューです",IF(TRIM(B261)="","食材名がありません",IF(ISNA(MATCH(B261,'食材の単価'!$A$5:$A$204,0)),"食材の単価に無い食材です",IF(NOT(ISNUMBER(C261)),"使用量がありません",IF(NOT(ISNUMBER(E261)),"食材の単価が出ていません（仕入価格・仕入量）","")))))))</f>
        <v/>
      </c>
    </row>
    <row r="262" ht="16" customHeight="1">
      <c r="A262" s="38" t="n"/>
      <c r="B262" s="38" t="n"/>
      <c r="C262" s="39" t="n"/>
      <c r="D262" s="53">
        <f>IF(B262="","",IFERROR(INDEX('食材の単価'!$D$5:$D$204,MATCH(B262,'食材の単価'!$A$5:$A$204,0))&amp;"",""))</f>
        <v/>
      </c>
      <c r="E262" s="80">
        <f>IF(B262="","",IFERROR(INDEX('食材の単価'!$G$5:$G$204,MATCH(B262,'食材の単価'!$A$5:$A$204,0)),""))</f>
        <v/>
      </c>
      <c r="F262" s="78">
        <f>IF(AND(ISNUMBER(C262),ISNUMBER(E262)),C262*E262,"")</f>
        <v/>
      </c>
      <c r="G262" s="33" t="n"/>
      <c r="H262" s="34">
        <f>IF(COUNTA(A262:C262,G262)=0,"",IF(TRIM(A262)="","メニュー名がありません",IF(ISNA(MATCH(A262,'メニュー原価率'!$A$8:$A$107,0)),"メニュー原価率に無いメニューです",IF(TRIM(B262)="","食材名がありません",IF(ISNA(MATCH(B262,'食材の単価'!$A$5:$A$204,0)),"食材の単価に無い食材です",IF(NOT(ISNUMBER(C262)),"使用量がありません",IF(NOT(ISNUMBER(E262)),"食材の単価が出ていません（仕入価格・仕入量）","")))))))</f>
        <v/>
      </c>
    </row>
    <row r="263" ht="16" customHeight="1">
      <c r="A263" s="38" t="n"/>
      <c r="B263" s="38" t="n"/>
      <c r="C263" s="39" t="n"/>
      <c r="D263" s="53">
        <f>IF(B263="","",IFERROR(INDEX('食材の単価'!$D$5:$D$204,MATCH(B263,'食材の単価'!$A$5:$A$204,0))&amp;"",""))</f>
        <v/>
      </c>
      <c r="E263" s="80">
        <f>IF(B263="","",IFERROR(INDEX('食材の単価'!$G$5:$G$204,MATCH(B263,'食材の単価'!$A$5:$A$204,0)),""))</f>
        <v/>
      </c>
      <c r="F263" s="78">
        <f>IF(AND(ISNUMBER(C263),ISNUMBER(E263)),C263*E263,"")</f>
        <v/>
      </c>
      <c r="G263" s="33" t="n"/>
      <c r="H263" s="34">
        <f>IF(COUNTA(A263:C263,G263)=0,"",IF(TRIM(A263)="","メニュー名がありません",IF(ISNA(MATCH(A263,'メニュー原価率'!$A$8:$A$107,0)),"メニュー原価率に無いメニューです",IF(TRIM(B263)="","食材名がありません",IF(ISNA(MATCH(B263,'食材の単価'!$A$5:$A$204,0)),"食材の単価に無い食材です",IF(NOT(ISNUMBER(C263)),"使用量がありません",IF(NOT(ISNUMBER(E263)),"食材の単価が出ていません（仕入価格・仕入量）","")))))))</f>
        <v/>
      </c>
    </row>
    <row r="264" ht="16" customHeight="1">
      <c r="A264" s="38" t="n"/>
      <c r="B264" s="38" t="n"/>
      <c r="C264" s="39" t="n"/>
      <c r="D264" s="53">
        <f>IF(B264="","",IFERROR(INDEX('食材の単価'!$D$5:$D$204,MATCH(B264,'食材の単価'!$A$5:$A$204,0))&amp;"",""))</f>
        <v/>
      </c>
      <c r="E264" s="80">
        <f>IF(B264="","",IFERROR(INDEX('食材の単価'!$G$5:$G$204,MATCH(B264,'食材の単価'!$A$5:$A$204,0)),""))</f>
        <v/>
      </c>
      <c r="F264" s="78">
        <f>IF(AND(ISNUMBER(C264),ISNUMBER(E264)),C264*E264,"")</f>
        <v/>
      </c>
      <c r="G264" s="33" t="n"/>
      <c r="H264" s="34">
        <f>IF(COUNTA(A264:C264,G264)=0,"",IF(TRIM(A264)="","メニュー名がありません",IF(ISNA(MATCH(A264,'メニュー原価率'!$A$8:$A$107,0)),"メニュー原価率に無いメニューです",IF(TRIM(B264)="","食材名がありません",IF(ISNA(MATCH(B264,'食材の単価'!$A$5:$A$204,0)),"食材の単価に無い食材です",IF(NOT(ISNUMBER(C264)),"使用量がありません",IF(NOT(ISNUMBER(E264)),"食材の単価が出ていません（仕入価格・仕入量）","")))))))</f>
        <v/>
      </c>
    </row>
    <row r="265" ht="16" customHeight="1">
      <c r="A265" s="38" t="n"/>
      <c r="B265" s="38" t="n"/>
      <c r="C265" s="39" t="n"/>
      <c r="D265" s="53">
        <f>IF(B265="","",IFERROR(INDEX('食材の単価'!$D$5:$D$204,MATCH(B265,'食材の単価'!$A$5:$A$204,0))&amp;"",""))</f>
        <v/>
      </c>
      <c r="E265" s="80">
        <f>IF(B265="","",IFERROR(INDEX('食材の単価'!$G$5:$G$204,MATCH(B265,'食材の単価'!$A$5:$A$204,0)),""))</f>
        <v/>
      </c>
      <c r="F265" s="78">
        <f>IF(AND(ISNUMBER(C265),ISNUMBER(E265)),C265*E265,"")</f>
        <v/>
      </c>
      <c r="G265" s="33" t="n"/>
      <c r="H265" s="34">
        <f>IF(COUNTA(A265:C265,G265)=0,"",IF(TRIM(A265)="","メニュー名がありません",IF(ISNA(MATCH(A265,'メニュー原価率'!$A$8:$A$107,0)),"メニュー原価率に無いメニューです",IF(TRIM(B265)="","食材名がありません",IF(ISNA(MATCH(B265,'食材の単価'!$A$5:$A$204,0)),"食材の単価に無い食材です",IF(NOT(ISNUMBER(C265)),"使用量がありません",IF(NOT(ISNUMBER(E265)),"食材の単価が出ていません（仕入価格・仕入量）","")))))))</f>
        <v/>
      </c>
    </row>
    <row r="266" ht="16" customHeight="1">
      <c r="A266" s="38" t="n"/>
      <c r="B266" s="38" t="n"/>
      <c r="C266" s="39" t="n"/>
      <c r="D266" s="53">
        <f>IF(B266="","",IFERROR(INDEX('食材の単価'!$D$5:$D$204,MATCH(B266,'食材の単価'!$A$5:$A$204,0))&amp;"",""))</f>
        <v/>
      </c>
      <c r="E266" s="80">
        <f>IF(B266="","",IFERROR(INDEX('食材の単価'!$G$5:$G$204,MATCH(B266,'食材の単価'!$A$5:$A$204,0)),""))</f>
        <v/>
      </c>
      <c r="F266" s="78">
        <f>IF(AND(ISNUMBER(C266),ISNUMBER(E266)),C266*E266,"")</f>
        <v/>
      </c>
      <c r="G266" s="33" t="n"/>
      <c r="H266" s="34">
        <f>IF(COUNTA(A266:C266,G266)=0,"",IF(TRIM(A266)="","メニュー名がありません",IF(ISNA(MATCH(A266,'メニュー原価率'!$A$8:$A$107,0)),"メニュー原価率に無いメニューです",IF(TRIM(B266)="","食材名がありません",IF(ISNA(MATCH(B266,'食材の単価'!$A$5:$A$204,0)),"食材の単価に無い食材です",IF(NOT(ISNUMBER(C266)),"使用量がありません",IF(NOT(ISNUMBER(E266)),"食材の単価が出ていません（仕入価格・仕入量）","")))))))</f>
        <v/>
      </c>
    </row>
    <row r="267" ht="16" customHeight="1">
      <c r="A267" s="38" t="n"/>
      <c r="B267" s="38" t="n"/>
      <c r="C267" s="39" t="n"/>
      <c r="D267" s="53">
        <f>IF(B267="","",IFERROR(INDEX('食材の単価'!$D$5:$D$204,MATCH(B267,'食材の単価'!$A$5:$A$204,0))&amp;"",""))</f>
        <v/>
      </c>
      <c r="E267" s="80">
        <f>IF(B267="","",IFERROR(INDEX('食材の単価'!$G$5:$G$204,MATCH(B267,'食材の単価'!$A$5:$A$204,0)),""))</f>
        <v/>
      </c>
      <c r="F267" s="78">
        <f>IF(AND(ISNUMBER(C267),ISNUMBER(E267)),C267*E267,"")</f>
        <v/>
      </c>
      <c r="G267" s="33" t="n"/>
      <c r="H267" s="34">
        <f>IF(COUNTA(A267:C267,G267)=0,"",IF(TRIM(A267)="","メニュー名がありません",IF(ISNA(MATCH(A267,'メニュー原価率'!$A$8:$A$107,0)),"メニュー原価率に無いメニューです",IF(TRIM(B267)="","食材名がありません",IF(ISNA(MATCH(B267,'食材の単価'!$A$5:$A$204,0)),"食材の単価に無い食材です",IF(NOT(ISNUMBER(C267)),"使用量がありません",IF(NOT(ISNUMBER(E267)),"食材の単価が出ていません（仕入価格・仕入量）","")))))))</f>
        <v/>
      </c>
    </row>
    <row r="268" ht="16" customHeight="1">
      <c r="A268" s="38" t="n"/>
      <c r="B268" s="38" t="n"/>
      <c r="C268" s="39" t="n"/>
      <c r="D268" s="53">
        <f>IF(B268="","",IFERROR(INDEX('食材の単価'!$D$5:$D$204,MATCH(B268,'食材の単価'!$A$5:$A$204,0))&amp;"",""))</f>
        <v/>
      </c>
      <c r="E268" s="80">
        <f>IF(B268="","",IFERROR(INDEX('食材の単価'!$G$5:$G$204,MATCH(B268,'食材の単価'!$A$5:$A$204,0)),""))</f>
        <v/>
      </c>
      <c r="F268" s="78">
        <f>IF(AND(ISNUMBER(C268),ISNUMBER(E268)),C268*E268,"")</f>
        <v/>
      </c>
      <c r="G268" s="33" t="n"/>
      <c r="H268" s="34">
        <f>IF(COUNTA(A268:C268,G268)=0,"",IF(TRIM(A268)="","メニュー名がありません",IF(ISNA(MATCH(A268,'メニュー原価率'!$A$8:$A$107,0)),"メニュー原価率に無いメニューです",IF(TRIM(B268)="","食材名がありません",IF(ISNA(MATCH(B268,'食材の単価'!$A$5:$A$204,0)),"食材の単価に無い食材です",IF(NOT(ISNUMBER(C268)),"使用量がありません",IF(NOT(ISNUMBER(E268)),"食材の単価が出ていません（仕入価格・仕入量）","")))))))</f>
        <v/>
      </c>
    </row>
    <row r="269" ht="16" customHeight="1">
      <c r="A269" s="38" t="n"/>
      <c r="B269" s="38" t="n"/>
      <c r="C269" s="39" t="n"/>
      <c r="D269" s="53">
        <f>IF(B269="","",IFERROR(INDEX('食材の単価'!$D$5:$D$204,MATCH(B269,'食材の単価'!$A$5:$A$204,0))&amp;"",""))</f>
        <v/>
      </c>
      <c r="E269" s="80">
        <f>IF(B269="","",IFERROR(INDEX('食材の単価'!$G$5:$G$204,MATCH(B269,'食材の単価'!$A$5:$A$204,0)),""))</f>
        <v/>
      </c>
      <c r="F269" s="78">
        <f>IF(AND(ISNUMBER(C269),ISNUMBER(E269)),C269*E269,"")</f>
        <v/>
      </c>
      <c r="G269" s="33" t="n"/>
      <c r="H269" s="34">
        <f>IF(COUNTA(A269:C269,G269)=0,"",IF(TRIM(A269)="","メニュー名がありません",IF(ISNA(MATCH(A269,'メニュー原価率'!$A$8:$A$107,0)),"メニュー原価率に無いメニューです",IF(TRIM(B269)="","食材名がありません",IF(ISNA(MATCH(B269,'食材の単価'!$A$5:$A$204,0)),"食材の単価に無い食材です",IF(NOT(ISNUMBER(C269)),"使用量がありません",IF(NOT(ISNUMBER(E269)),"食材の単価が出ていません（仕入価格・仕入量）","")))))))</f>
        <v/>
      </c>
    </row>
    <row r="270" ht="16" customHeight="1">
      <c r="A270" s="38" t="n"/>
      <c r="B270" s="38" t="n"/>
      <c r="C270" s="39" t="n"/>
      <c r="D270" s="53">
        <f>IF(B270="","",IFERROR(INDEX('食材の単価'!$D$5:$D$204,MATCH(B270,'食材の単価'!$A$5:$A$204,0))&amp;"",""))</f>
        <v/>
      </c>
      <c r="E270" s="80">
        <f>IF(B270="","",IFERROR(INDEX('食材の単価'!$G$5:$G$204,MATCH(B270,'食材の単価'!$A$5:$A$204,0)),""))</f>
        <v/>
      </c>
      <c r="F270" s="78">
        <f>IF(AND(ISNUMBER(C270),ISNUMBER(E270)),C270*E270,"")</f>
        <v/>
      </c>
      <c r="G270" s="33" t="n"/>
      <c r="H270" s="34">
        <f>IF(COUNTA(A270:C270,G270)=0,"",IF(TRIM(A270)="","メニュー名がありません",IF(ISNA(MATCH(A270,'メニュー原価率'!$A$8:$A$107,0)),"メニュー原価率に無いメニューです",IF(TRIM(B270)="","食材名がありません",IF(ISNA(MATCH(B270,'食材の単価'!$A$5:$A$204,0)),"食材の単価に無い食材です",IF(NOT(ISNUMBER(C270)),"使用量がありません",IF(NOT(ISNUMBER(E270)),"食材の単価が出ていません（仕入価格・仕入量）","")))))))</f>
        <v/>
      </c>
    </row>
    <row r="271" ht="16" customHeight="1">
      <c r="A271" s="38" t="n"/>
      <c r="B271" s="38" t="n"/>
      <c r="C271" s="39" t="n"/>
      <c r="D271" s="53">
        <f>IF(B271="","",IFERROR(INDEX('食材の単価'!$D$5:$D$204,MATCH(B271,'食材の単価'!$A$5:$A$204,0))&amp;"",""))</f>
        <v/>
      </c>
      <c r="E271" s="80">
        <f>IF(B271="","",IFERROR(INDEX('食材の単価'!$G$5:$G$204,MATCH(B271,'食材の単価'!$A$5:$A$204,0)),""))</f>
        <v/>
      </c>
      <c r="F271" s="78">
        <f>IF(AND(ISNUMBER(C271),ISNUMBER(E271)),C271*E271,"")</f>
        <v/>
      </c>
      <c r="G271" s="33" t="n"/>
      <c r="H271" s="34">
        <f>IF(COUNTA(A271:C271,G271)=0,"",IF(TRIM(A271)="","メニュー名がありません",IF(ISNA(MATCH(A271,'メニュー原価率'!$A$8:$A$107,0)),"メニュー原価率に無いメニューです",IF(TRIM(B271)="","食材名がありません",IF(ISNA(MATCH(B271,'食材の単価'!$A$5:$A$204,0)),"食材の単価に無い食材です",IF(NOT(ISNUMBER(C271)),"使用量がありません",IF(NOT(ISNUMBER(E271)),"食材の単価が出ていません（仕入価格・仕入量）","")))))))</f>
        <v/>
      </c>
    </row>
    <row r="272" ht="16" customHeight="1">
      <c r="A272" s="38" t="n"/>
      <c r="B272" s="38" t="n"/>
      <c r="C272" s="39" t="n"/>
      <c r="D272" s="53">
        <f>IF(B272="","",IFERROR(INDEX('食材の単価'!$D$5:$D$204,MATCH(B272,'食材の単価'!$A$5:$A$204,0))&amp;"",""))</f>
        <v/>
      </c>
      <c r="E272" s="80">
        <f>IF(B272="","",IFERROR(INDEX('食材の単価'!$G$5:$G$204,MATCH(B272,'食材の単価'!$A$5:$A$204,0)),""))</f>
        <v/>
      </c>
      <c r="F272" s="78">
        <f>IF(AND(ISNUMBER(C272),ISNUMBER(E272)),C272*E272,"")</f>
        <v/>
      </c>
      <c r="G272" s="33" t="n"/>
      <c r="H272" s="34">
        <f>IF(COUNTA(A272:C272,G272)=0,"",IF(TRIM(A272)="","メニュー名がありません",IF(ISNA(MATCH(A272,'メニュー原価率'!$A$8:$A$107,0)),"メニュー原価率に無いメニューです",IF(TRIM(B272)="","食材名がありません",IF(ISNA(MATCH(B272,'食材の単価'!$A$5:$A$204,0)),"食材の単価に無い食材です",IF(NOT(ISNUMBER(C272)),"使用量がありません",IF(NOT(ISNUMBER(E272)),"食材の単価が出ていません（仕入価格・仕入量）","")))))))</f>
        <v/>
      </c>
    </row>
    <row r="273" ht="16" customHeight="1">
      <c r="A273" s="38" t="n"/>
      <c r="B273" s="38" t="n"/>
      <c r="C273" s="39" t="n"/>
      <c r="D273" s="53">
        <f>IF(B273="","",IFERROR(INDEX('食材の単価'!$D$5:$D$204,MATCH(B273,'食材の単価'!$A$5:$A$204,0))&amp;"",""))</f>
        <v/>
      </c>
      <c r="E273" s="80">
        <f>IF(B273="","",IFERROR(INDEX('食材の単価'!$G$5:$G$204,MATCH(B273,'食材の単価'!$A$5:$A$204,0)),""))</f>
        <v/>
      </c>
      <c r="F273" s="78">
        <f>IF(AND(ISNUMBER(C273),ISNUMBER(E273)),C273*E273,"")</f>
        <v/>
      </c>
      <c r="G273" s="33" t="n"/>
      <c r="H273" s="34">
        <f>IF(COUNTA(A273:C273,G273)=0,"",IF(TRIM(A273)="","メニュー名がありません",IF(ISNA(MATCH(A273,'メニュー原価率'!$A$8:$A$107,0)),"メニュー原価率に無いメニューです",IF(TRIM(B273)="","食材名がありません",IF(ISNA(MATCH(B273,'食材の単価'!$A$5:$A$204,0)),"食材の単価に無い食材です",IF(NOT(ISNUMBER(C273)),"使用量がありません",IF(NOT(ISNUMBER(E273)),"食材の単価が出ていません（仕入価格・仕入量）","")))))))</f>
        <v/>
      </c>
    </row>
    <row r="274" ht="16" customHeight="1">
      <c r="A274" s="38" t="n"/>
      <c r="B274" s="38" t="n"/>
      <c r="C274" s="39" t="n"/>
      <c r="D274" s="53">
        <f>IF(B274="","",IFERROR(INDEX('食材の単価'!$D$5:$D$204,MATCH(B274,'食材の単価'!$A$5:$A$204,0))&amp;"",""))</f>
        <v/>
      </c>
      <c r="E274" s="80">
        <f>IF(B274="","",IFERROR(INDEX('食材の単価'!$G$5:$G$204,MATCH(B274,'食材の単価'!$A$5:$A$204,0)),""))</f>
        <v/>
      </c>
      <c r="F274" s="78">
        <f>IF(AND(ISNUMBER(C274),ISNUMBER(E274)),C274*E274,"")</f>
        <v/>
      </c>
      <c r="G274" s="33" t="n"/>
      <c r="H274" s="34">
        <f>IF(COUNTA(A274:C274,G274)=0,"",IF(TRIM(A274)="","メニュー名がありません",IF(ISNA(MATCH(A274,'メニュー原価率'!$A$8:$A$107,0)),"メニュー原価率に無いメニューです",IF(TRIM(B274)="","食材名がありません",IF(ISNA(MATCH(B274,'食材の単価'!$A$5:$A$204,0)),"食材の単価に無い食材です",IF(NOT(ISNUMBER(C274)),"使用量がありません",IF(NOT(ISNUMBER(E274)),"食材の単価が出ていません（仕入価格・仕入量）","")))))))</f>
        <v/>
      </c>
    </row>
    <row r="275" ht="16" customHeight="1">
      <c r="A275" s="38" t="n"/>
      <c r="B275" s="38" t="n"/>
      <c r="C275" s="39" t="n"/>
      <c r="D275" s="53">
        <f>IF(B275="","",IFERROR(INDEX('食材の単価'!$D$5:$D$204,MATCH(B275,'食材の単価'!$A$5:$A$204,0))&amp;"",""))</f>
        <v/>
      </c>
      <c r="E275" s="80">
        <f>IF(B275="","",IFERROR(INDEX('食材の単価'!$G$5:$G$204,MATCH(B275,'食材の単価'!$A$5:$A$204,0)),""))</f>
        <v/>
      </c>
      <c r="F275" s="78">
        <f>IF(AND(ISNUMBER(C275),ISNUMBER(E275)),C275*E275,"")</f>
        <v/>
      </c>
      <c r="G275" s="33" t="n"/>
      <c r="H275" s="34">
        <f>IF(COUNTA(A275:C275,G275)=0,"",IF(TRIM(A275)="","メニュー名がありません",IF(ISNA(MATCH(A275,'メニュー原価率'!$A$8:$A$107,0)),"メニュー原価率に無いメニューです",IF(TRIM(B275)="","食材名がありません",IF(ISNA(MATCH(B275,'食材の単価'!$A$5:$A$204,0)),"食材の単価に無い食材です",IF(NOT(ISNUMBER(C275)),"使用量がありません",IF(NOT(ISNUMBER(E275)),"食材の単価が出ていません（仕入価格・仕入量）","")))))))</f>
        <v/>
      </c>
    </row>
    <row r="276" ht="16" customHeight="1">
      <c r="A276" s="38" t="n"/>
      <c r="B276" s="38" t="n"/>
      <c r="C276" s="39" t="n"/>
      <c r="D276" s="53">
        <f>IF(B276="","",IFERROR(INDEX('食材の単価'!$D$5:$D$204,MATCH(B276,'食材の単価'!$A$5:$A$204,0))&amp;"",""))</f>
        <v/>
      </c>
      <c r="E276" s="80">
        <f>IF(B276="","",IFERROR(INDEX('食材の単価'!$G$5:$G$204,MATCH(B276,'食材の単価'!$A$5:$A$204,0)),""))</f>
        <v/>
      </c>
      <c r="F276" s="78">
        <f>IF(AND(ISNUMBER(C276),ISNUMBER(E276)),C276*E276,"")</f>
        <v/>
      </c>
      <c r="G276" s="33" t="n"/>
      <c r="H276" s="34">
        <f>IF(COUNTA(A276:C276,G276)=0,"",IF(TRIM(A276)="","メニュー名がありません",IF(ISNA(MATCH(A276,'メニュー原価率'!$A$8:$A$107,0)),"メニュー原価率に無いメニューです",IF(TRIM(B276)="","食材名がありません",IF(ISNA(MATCH(B276,'食材の単価'!$A$5:$A$204,0)),"食材の単価に無い食材です",IF(NOT(ISNUMBER(C276)),"使用量がありません",IF(NOT(ISNUMBER(E276)),"食材の単価が出ていません（仕入価格・仕入量）","")))))))</f>
        <v/>
      </c>
    </row>
    <row r="277" ht="16" customHeight="1">
      <c r="A277" s="38" t="n"/>
      <c r="B277" s="38" t="n"/>
      <c r="C277" s="39" t="n"/>
      <c r="D277" s="53">
        <f>IF(B277="","",IFERROR(INDEX('食材の単価'!$D$5:$D$204,MATCH(B277,'食材の単価'!$A$5:$A$204,0))&amp;"",""))</f>
        <v/>
      </c>
      <c r="E277" s="80">
        <f>IF(B277="","",IFERROR(INDEX('食材の単価'!$G$5:$G$204,MATCH(B277,'食材の単価'!$A$5:$A$204,0)),""))</f>
        <v/>
      </c>
      <c r="F277" s="78">
        <f>IF(AND(ISNUMBER(C277),ISNUMBER(E277)),C277*E277,"")</f>
        <v/>
      </c>
      <c r="G277" s="33" t="n"/>
      <c r="H277" s="34">
        <f>IF(COUNTA(A277:C277,G277)=0,"",IF(TRIM(A277)="","メニュー名がありません",IF(ISNA(MATCH(A277,'メニュー原価率'!$A$8:$A$107,0)),"メニュー原価率に無いメニューです",IF(TRIM(B277)="","食材名がありません",IF(ISNA(MATCH(B277,'食材の単価'!$A$5:$A$204,0)),"食材の単価に無い食材です",IF(NOT(ISNUMBER(C277)),"使用量がありません",IF(NOT(ISNUMBER(E277)),"食材の単価が出ていません（仕入価格・仕入量）","")))))))</f>
        <v/>
      </c>
    </row>
    <row r="278" ht="16" customHeight="1">
      <c r="A278" s="38" t="n"/>
      <c r="B278" s="38" t="n"/>
      <c r="C278" s="39" t="n"/>
      <c r="D278" s="53">
        <f>IF(B278="","",IFERROR(INDEX('食材の単価'!$D$5:$D$204,MATCH(B278,'食材の単価'!$A$5:$A$204,0))&amp;"",""))</f>
        <v/>
      </c>
      <c r="E278" s="80">
        <f>IF(B278="","",IFERROR(INDEX('食材の単価'!$G$5:$G$204,MATCH(B278,'食材の単価'!$A$5:$A$204,0)),""))</f>
        <v/>
      </c>
      <c r="F278" s="78">
        <f>IF(AND(ISNUMBER(C278),ISNUMBER(E278)),C278*E278,"")</f>
        <v/>
      </c>
      <c r="G278" s="33" t="n"/>
      <c r="H278" s="34">
        <f>IF(COUNTA(A278:C278,G278)=0,"",IF(TRIM(A278)="","メニュー名がありません",IF(ISNA(MATCH(A278,'メニュー原価率'!$A$8:$A$107,0)),"メニュー原価率に無いメニューです",IF(TRIM(B278)="","食材名がありません",IF(ISNA(MATCH(B278,'食材の単価'!$A$5:$A$204,0)),"食材の単価に無い食材です",IF(NOT(ISNUMBER(C278)),"使用量がありません",IF(NOT(ISNUMBER(E278)),"食材の単価が出ていません（仕入価格・仕入量）","")))))))</f>
        <v/>
      </c>
    </row>
    <row r="279" ht="16" customHeight="1">
      <c r="A279" s="38" t="n"/>
      <c r="B279" s="38" t="n"/>
      <c r="C279" s="39" t="n"/>
      <c r="D279" s="53">
        <f>IF(B279="","",IFERROR(INDEX('食材の単価'!$D$5:$D$204,MATCH(B279,'食材の単価'!$A$5:$A$204,0))&amp;"",""))</f>
        <v/>
      </c>
      <c r="E279" s="80">
        <f>IF(B279="","",IFERROR(INDEX('食材の単価'!$G$5:$G$204,MATCH(B279,'食材の単価'!$A$5:$A$204,0)),""))</f>
        <v/>
      </c>
      <c r="F279" s="78">
        <f>IF(AND(ISNUMBER(C279),ISNUMBER(E279)),C279*E279,"")</f>
        <v/>
      </c>
      <c r="G279" s="33" t="n"/>
      <c r="H279" s="34">
        <f>IF(COUNTA(A279:C279,G279)=0,"",IF(TRIM(A279)="","メニュー名がありません",IF(ISNA(MATCH(A279,'メニュー原価率'!$A$8:$A$107,0)),"メニュー原価率に無いメニューです",IF(TRIM(B279)="","食材名がありません",IF(ISNA(MATCH(B279,'食材の単価'!$A$5:$A$204,0)),"食材の単価に無い食材です",IF(NOT(ISNUMBER(C279)),"使用量がありません",IF(NOT(ISNUMBER(E279)),"食材の単価が出ていません（仕入価格・仕入量）","")))))))</f>
        <v/>
      </c>
    </row>
    <row r="280" ht="16" customHeight="1">
      <c r="A280" s="38" t="n"/>
      <c r="B280" s="38" t="n"/>
      <c r="C280" s="39" t="n"/>
      <c r="D280" s="53">
        <f>IF(B280="","",IFERROR(INDEX('食材の単価'!$D$5:$D$204,MATCH(B280,'食材の単価'!$A$5:$A$204,0))&amp;"",""))</f>
        <v/>
      </c>
      <c r="E280" s="80">
        <f>IF(B280="","",IFERROR(INDEX('食材の単価'!$G$5:$G$204,MATCH(B280,'食材の単価'!$A$5:$A$204,0)),""))</f>
        <v/>
      </c>
      <c r="F280" s="78">
        <f>IF(AND(ISNUMBER(C280),ISNUMBER(E280)),C280*E280,"")</f>
        <v/>
      </c>
      <c r="G280" s="33" t="n"/>
      <c r="H280" s="34">
        <f>IF(COUNTA(A280:C280,G280)=0,"",IF(TRIM(A280)="","メニュー名がありません",IF(ISNA(MATCH(A280,'メニュー原価率'!$A$8:$A$107,0)),"メニュー原価率に無いメニューです",IF(TRIM(B280)="","食材名がありません",IF(ISNA(MATCH(B280,'食材の単価'!$A$5:$A$204,0)),"食材の単価に無い食材です",IF(NOT(ISNUMBER(C280)),"使用量がありません",IF(NOT(ISNUMBER(E280)),"食材の単価が出ていません（仕入価格・仕入量）","")))))))</f>
        <v/>
      </c>
    </row>
    <row r="281" ht="16" customHeight="1">
      <c r="A281" s="38" t="n"/>
      <c r="B281" s="38" t="n"/>
      <c r="C281" s="39" t="n"/>
      <c r="D281" s="53">
        <f>IF(B281="","",IFERROR(INDEX('食材の単価'!$D$5:$D$204,MATCH(B281,'食材の単価'!$A$5:$A$204,0))&amp;"",""))</f>
        <v/>
      </c>
      <c r="E281" s="80">
        <f>IF(B281="","",IFERROR(INDEX('食材の単価'!$G$5:$G$204,MATCH(B281,'食材の単価'!$A$5:$A$204,0)),""))</f>
        <v/>
      </c>
      <c r="F281" s="78">
        <f>IF(AND(ISNUMBER(C281),ISNUMBER(E281)),C281*E281,"")</f>
        <v/>
      </c>
      <c r="G281" s="33" t="n"/>
      <c r="H281" s="34">
        <f>IF(COUNTA(A281:C281,G281)=0,"",IF(TRIM(A281)="","メニュー名がありません",IF(ISNA(MATCH(A281,'メニュー原価率'!$A$8:$A$107,0)),"メニュー原価率に無いメニューです",IF(TRIM(B281)="","食材名がありません",IF(ISNA(MATCH(B281,'食材の単価'!$A$5:$A$204,0)),"食材の単価に無い食材です",IF(NOT(ISNUMBER(C281)),"使用量がありません",IF(NOT(ISNUMBER(E281)),"食材の単価が出ていません（仕入価格・仕入量）","")))))))</f>
        <v/>
      </c>
    </row>
    <row r="282" ht="16" customHeight="1">
      <c r="A282" s="38" t="n"/>
      <c r="B282" s="38" t="n"/>
      <c r="C282" s="39" t="n"/>
      <c r="D282" s="53">
        <f>IF(B282="","",IFERROR(INDEX('食材の単価'!$D$5:$D$204,MATCH(B282,'食材の単価'!$A$5:$A$204,0))&amp;"",""))</f>
        <v/>
      </c>
      <c r="E282" s="80">
        <f>IF(B282="","",IFERROR(INDEX('食材の単価'!$G$5:$G$204,MATCH(B282,'食材の単価'!$A$5:$A$204,0)),""))</f>
        <v/>
      </c>
      <c r="F282" s="78">
        <f>IF(AND(ISNUMBER(C282),ISNUMBER(E282)),C282*E282,"")</f>
        <v/>
      </c>
      <c r="G282" s="33" t="n"/>
      <c r="H282" s="34">
        <f>IF(COUNTA(A282:C282,G282)=0,"",IF(TRIM(A282)="","メニュー名がありません",IF(ISNA(MATCH(A282,'メニュー原価率'!$A$8:$A$107,0)),"メニュー原価率に無いメニューです",IF(TRIM(B282)="","食材名がありません",IF(ISNA(MATCH(B282,'食材の単価'!$A$5:$A$204,0)),"食材の単価に無い食材です",IF(NOT(ISNUMBER(C282)),"使用量がありません",IF(NOT(ISNUMBER(E282)),"食材の単価が出ていません（仕入価格・仕入量）","")))))))</f>
        <v/>
      </c>
    </row>
    <row r="283" ht="16" customHeight="1">
      <c r="A283" s="38" t="n"/>
      <c r="B283" s="38" t="n"/>
      <c r="C283" s="39" t="n"/>
      <c r="D283" s="53">
        <f>IF(B283="","",IFERROR(INDEX('食材の単価'!$D$5:$D$204,MATCH(B283,'食材の単価'!$A$5:$A$204,0))&amp;"",""))</f>
        <v/>
      </c>
      <c r="E283" s="80">
        <f>IF(B283="","",IFERROR(INDEX('食材の単価'!$G$5:$G$204,MATCH(B283,'食材の単価'!$A$5:$A$204,0)),""))</f>
        <v/>
      </c>
      <c r="F283" s="78">
        <f>IF(AND(ISNUMBER(C283),ISNUMBER(E283)),C283*E283,"")</f>
        <v/>
      </c>
      <c r="G283" s="33" t="n"/>
      <c r="H283" s="34">
        <f>IF(COUNTA(A283:C283,G283)=0,"",IF(TRIM(A283)="","メニュー名がありません",IF(ISNA(MATCH(A283,'メニュー原価率'!$A$8:$A$107,0)),"メニュー原価率に無いメニューです",IF(TRIM(B283)="","食材名がありません",IF(ISNA(MATCH(B283,'食材の単価'!$A$5:$A$204,0)),"食材の単価に無い食材です",IF(NOT(ISNUMBER(C283)),"使用量がありません",IF(NOT(ISNUMBER(E283)),"食材の単価が出ていません（仕入価格・仕入量）","")))))))</f>
        <v/>
      </c>
    </row>
    <row r="284" ht="16" customHeight="1">
      <c r="A284" s="38" t="n"/>
      <c r="B284" s="38" t="n"/>
      <c r="C284" s="39" t="n"/>
      <c r="D284" s="53">
        <f>IF(B284="","",IFERROR(INDEX('食材の単価'!$D$5:$D$204,MATCH(B284,'食材の単価'!$A$5:$A$204,0))&amp;"",""))</f>
        <v/>
      </c>
      <c r="E284" s="80">
        <f>IF(B284="","",IFERROR(INDEX('食材の単価'!$G$5:$G$204,MATCH(B284,'食材の単価'!$A$5:$A$204,0)),""))</f>
        <v/>
      </c>
      <c r="F284" s="78">
        <f>IF(AND(ISNUMBER(C284),ISNUMBER(E284)),C284*E284,"")</f>
        <v/>
      </c>
      <c r="G284" s="33" t="n"/>
      <c r="H284" s="34">
        <f>IF(COUNTA(A284:C284,G284)=0,"",IF(TRIM(A284)="","メニュー名がありません",IF(ISNA(MATCH(A284,'メニュー原価率'!$A$8:$A$107,0)),"メニュー原価率に無いメニューです",IF(TRIM(B284)="","食材名がありません",IF(ISNA(MATCH(B284,'食材の単価'!$A$5:$A$204,0)),"食材の単価に無い食材です",IF(NOT(ISNUMBER(C284)),"使用量がありません",IF(NOT(ISNUMBER(E284)),"食材の単価が出ていません（仕入価格・仕入量）","")))))))</f>
        <v/>
      </c>
    </row>
    <row r="285" ht="16" customHeight="1">
      <c r="A285" s="38" t="n"/>
      <c r="B285" s="38" t="n"/>
      <c r="C285" s="39" t="n"/>
      <c r="D285" s="53">
        <f>IF(B285="","",IFERROR(INDEX('食材の単価'!$D$5:$D$204,MATCH(B285,'食材の単価'!$A$5:$A$204,0))&amp;"",""))</f>
        <v/>
      </c>
      <c r="E285" s="80">
        <f>IF(B285="","",IFERROR(INDEX('食材の単価'!$G$5:$G$204,MATCH(B285,'食材の単価'!$A$5:$A$204,0)),""))</f>
        <v/>
      </c>
      <c r="F285" s="78">
        <f>IF(AND(ISNUMBER(C285),ISNUMBER(E285)),C285*E285,"")</f>
        <v/>
      </c>
      <c r="G285" s="33" t="n"/>
      <c r="H285" s="34">
        <f>IF(COUNTA(A285:C285,G285)=0,"",IF(TRIM(A285)="","メニュー名がありません",IF(ISNA(MATCH(A285,'メニュー原価率'!$A$8:$A$107,0)),"メニュー原価率に無いメニューです",IF(TRIM(B285)="","食材名がありません",IF(ISNA(MATCH(B285,'食材の単価'!$A$5:$A$204,0)),"食材の単価に無い食材です",IF(NOT(ISNUMBER(C285)),"使用量がありません",IF(NOT(ISNUMBER(E285)),"食材の単価が出ていません（仕入価格・仕入量）","")))))))</f>
        <v/>
      </c>
    </row>
    <row r="286" ht="16" customHeight="1">
      <c r="A286" s="38" t="n"/>
      <c r="B286" s="38" t="n"/>
      <c r="C286" s="39" t="n"/>
      <c r="D286" s="53">
        <f>IF(B286="","",IFERROR(INDEX('食材の単価'!$D$5:$D$204,MATCH(B286,'食材の単価'!$A$5:$A$204,0))&amp;"",""))</f>
        <v/>
      </c>
      <c r="E286" s="80">
        <f>IF(B286="","",IFERROR(INDEX('食材の単価'!$G$5:$G$204,MATCH(B286,'食材の単価'!$A$5:$A$204,0)),""))</f>
        <v/>
      </c>
      <c r="F286" s="78">
        <f>IF(AND(ISNUMBER(C286),ISNUMBER(E286)),C286*E286,"")</f>
        <v/>
      </c>
      <c r="G286" s="33" t="n"/>
      <c r="H286" s="34">
        <f>IF(COUNTA(A286:C286,G286)=0,"",IF(TRIM(A286)="","メニュー名がありません",IF(ISNA(MATCH(A286,'メニュー原価率'!$A$8:$A$107,0)),"メニュー原価率に無いメニューです",IF(TRIM(B286)="","食材名がありません",IF(ISNA(MATCH(B286,'食材の単価'!$A$5:$A$204,0)),"食材の単価に無い食材です",IF(NOT(ISNUMBER(C286)),"使用量がありません",IF(NOT(ISNUMBER(E286)),"食材の単価が出ていません（仕入価格・仕入量）","")))))))</f>
        <v/>
      </c>
    </row>
    <row r="287" ht="16" customHeight="1">
      <c r="A287" s="38" t="n"/>
      <c r="B287" s="38" t="n"/>
      <c r="C287" s="39" t="n"/>
      <c r="D287" s="53">
        <f>IF(B287="","",IFERROR(INDEX('食材の単価'!$D$5:$D$204,MATCH(B287,'食材の単価'!$A$5:$A$204,0))&amp;"",""))</f>
        <v/>
      </c>
      <c r="E287" s="80">
        <f>IF(B287="","",IFERROR(INDEX('食材の単価'!$G$5:$G$204,MATCH(B287,'食材の単価'!$A$5:$A$204,0)),""))</f>
        <v/>
      </c>
      <c r="F287" s="78">
        <f>IF(AND(ISNUMBER(C287),ISNUMBER(E287)),C287*E287,"")</f>
        <v/>
      </c>
      <c r="G287" s="33" t="n"/>
      <c r="H287" s="34">
        <f>IF(COUNTA(A287:C287,G287)=0,"",IF(TRIM(A287)="","メニュー名がありません",IF(ISNA(MATCH(A287,'メニュー原価率'!$A$8:$A$107,0)),"メニュー原価率に無いメニューです",IF(TRIM(B287)="","食材名がありません",IF(ISNA(MATCH(B287,'食材の単価'!$A$5:$A$204,0)),"食材の単価に無い食材です",IF(NOT(ISNUMBER(C287)),"使用量がありません",IF(NOT(ISNUMBER(E287)),"食材の単価が出ていません（仕入価格・仕入量）","")))))))</f>
        <v/>
      </c>
    </row>
    <row r="288" ht="16" customHeight="1">
      <c r="A288" s="38" t="n"/>
      <c r="B288" s="38" t="n"/>
      <c r="C288" s="39" t="n"/>
      <c r="D288" s="53">
        <f>IF(B288="","",IFERROR(INDEX('食材の単価'!$D$5:$D$204,MATCH(B288,'食材の単価'!$A$5:$A$204,0))&amp;"",""))</f>
        <v/>
      </c>
      <c r="E288" s="80">
        <f>IF(B288="","",IFERROR(INDEX('食材の単価'!$G$5:$G$204,MATCH(B288,'食材の単価'!$A$5:$A$204,0)),""))</f>
        <v/>
      </c>
      <c r="F288" s="78">
        <f>IF(AND(ISNUMBER(C288),ISNUMBER(E288)),C288*E288,"")</f>
        <v/>
      </c>
      <c r="G288" s="33" t="n"/>
      <c r="H288" s="34">
        <f>IF(COUNTA(A288:C288,G288)=0,"",IF(TRIM(A288)="","メニュー名がありません",IF(ISNA(MATCH(A288,'メニュー原価率'!$A$8:$A$107,0)),"メニュー原価率に無いメニューです",IF(TRIM(B288)="","食材名がありません",IF(ISNA(MATCH(B288,'食材の単価'!$A$5:$A$204,0)),"食材の単価に無い食材です",IF(NOT(ISNUMBER(C288)),"使用量がありません",IF(NOT(ISNUMBER(E288)),"食材の単価が出ていません（仕入価格・仕入量）","")))))))</f>
        <v/>
      </c>
    </row>
    <row r="289" ht="16" customHeight="1">
      <c r="A289" s="38" t="n"/>
      <c r="B289" s="38" t="n"/>
      <c r="C289" s="39" t="n"/>
      <c r="D289" s="53">
        <f>IF(B289="","",IFERROR(INDEX('食材の単価'!$D$5:$D$204,MATCH(B289,'食材の単価'!$A$5:$A$204,0))&amp;"",""))</f>
        <v/>
      </c>
      <c r="E289" s="80">
        <f>IF(B289="","",IFERROR(INDEX('食材の単価'!$G$5:$G$204,MATCH(B289,'食材の単価'!$A$5:$A$204,0)),""))</f>
        <v/>
      </c>
      <c r="F289" s="78">
        <f>IF(AND(ISNUMBER(C289),ISNUMBER(E289)),C289*E289,"")</f>
        <v/>
      </c>
      <c r="G289" s="33" t="n"/>
      <c r="H289" s="34">
        <f>IF(COUNTA(A289:C289,G289)=0,"",IF(TRIM(A289)="","メニュー名がありません",IF(ISNA(MATCH(A289,'メニュー原価率'!$A$8:$A$107,0)),"メニュー原価率に無いメニューです",IF(TRIM(B289)="","食材名がありません",IF(ISNA(MATCH(B289,'食材の単価'!$A$5:$A$204,0)),"食材の単価に無い食材です",IF(NOT(ISNUMBER(C289)),"使用量がありません",IF(NOT(ISNUMBER(E289)),"食材の単価が出ていません（仕入価格・仕入量）","")))))))</f>
        <v/>
      </c>
    </row>
    <row r="290" ht="16" customHeight="1">
      <c r="A290" s="38" t="n"/>
      <c r="B290" s="38" t="n"/>
      <c r="C290" s="39" t="n"/>
      <c r="D290" s="53">
        <f>IF(B290="","",IFERROR(INDEX('食材の単価'!$D$5:$D$204,MATCH(B290,'食材の単価'!$A$5:$A$204,0))&amp;"",""))</f>
        <v/>
      </c>
      <c r="E290" s="80">
        <f>IF(B290="","",IFERROR(INDEX('食材の単価'!$G$5:$G$204,MATCH(B290,'食材の単価'!$A$5:$A$204,0)),""))</f>
        <v/>
      </c>
      <c r="F290" s="78">
        <f>IF(AND(ISNUMBER(C290),ISNUMBER(E290)),C290*E290,"")</f>
        <v/>
      </c>
      <c r="G290" s="33" t="n"/>
      <c r="H290" s="34">
        <f>IF(COUNTA(A290:C290,G290)=0,"",IF(TRIM(A290)="","メニュー名がありません",IF(ISNA(MATCH(A290,'メニュー原価率'!$A$8:$A$107,0)),"メニュー原価率に無いメニューです",IF(TRIM(B290)="","食材名がありません",IF(ISNA(MATCH(B290,'食材の単価'!$A$5:$A$204,0)),"食材の単価に無い食材です",IF(NOT(ISNUMBER(C290)),"使用量がありません",IF(NOT(ISNUMBER(E290)),"食材の単価が出ていません（仕入価格・仕入量）","")))))))</f>
        <v/>
      </c>
    </row>
    <row r="291" ht="16" customHeight="1">
      <c r="A291" s="38" t="n"/>
      <c r="B291" s="38" t="n"/>
      <c r="C291" s="39" t="n"/>
      <c r="D291" s="53">
        <f>IF(B291="","",IFERROR(INDEX('食材の単価'!$D$5:$D$204,MATCH(B291,'食材の単価'!$A$5:$A$204,0))&amp;"",""))</f>
        <v/>
      </c>
      <c r="E291" s="80">
        <f>IF(B291="","",IFERROR(INDEX('食材の単価'!$G$5:$G$204,MATCH(B291,'食材の単価'!$A$5:$A$204,0)),""))</f>
        <v/>
      </c>
      <c r="F291" s="78">
        <f>IF(AND(ISNUMBER(C291),ISNUMBER(E291)),C291*E291,"")</f>
        <v/>
      </c>
      <c r="G291" s="33" t="n"/>
      <c r="H291" s="34">
        <f>IF(COUNTA(A291:C291,G291)=0,"",IF(TRIM(A291)="","メニュー名がありません",IF(ISNA(MATCH(A291,'メニュー原価率'!$A$8:$A$107,0)),"メニュー原価率に無いメニューです",IF(TRIM(B291)="","食材名がありません",IF(ISNA(MATCH(B291,'食材の単価'!$A$5:$A$204,0)),"食材の単価に無い食材です",IF(NOT(ISNUMBER(C291)),"使用量がありません",IF(NOT(ISNUMBER(E291)),"食材の単価が出ていません（仕入価格・仕入量）","")))))))</f>
        <v/>
      </c>
    </row>
    <row r="292" ht="16" customHeight="1">
      <c r="A292" s="38" t="n"/>
      <c r="B292" s="38" t="n"/>
      <c r="C292" s="39" t="n"/>
      <c r="D292" s="53">
        <f>IF(B292="","",IFERROR(INDEX('食材の単価'!$D$5:$D$204,MATCH(B292,'食材の単価'!$A$5:$A$204,0))&amp;"",""))</f>
        <v/>
      </c>
      <c r="E292" s="80">
        <f>IF(B292="","",IFERROR(INDEX('食材の単価'!$G$5:$G$204,MATCH(B292,'食材の単価'!$A$5:$A$204,0)),""))</f>
        <v/>
      </c>
      <c r="F292" s="78">
        <f>IF(AND(ISNUMBER(C292),ISNUMBER(E292)),C292*E292,"")</f>
        <v/>
      </c>
      <c r="G292" s="33" t="n"/>
      <c r="H292" s="34">
        <f>IF(COUNTA(A292:C292,G292)=0,"",IF(TRIM(A292)="","メニュー名がありません",IF(ISNA(MATCH(A292,'メニュー原価率'!$A$8:$A$107,0)),"メニュー原価率に無いメニューです",IF(TRIM(B292)="","食材名がありません",IF(ISNA(MATCH(B292,'食材の単価'!$A$5:$A$204,0)),"食材の単価に無い食材です",IF(NOT(ISNUMBER(C292)),"使用量がありません",IF(NOT(ISNUMBER(E292)),"食材の単価が出ていません（仕入価格・仕入量）","")))))))</f>
        <v/>
      </c>
    </row>
    <row r="293" ht="16" customHeight="1">
      <c r="A293" s="38" t="n"/>
      <c r="B293" s="38" t="n"/>
      <c r="C293" s="39" t="n"/>
      <c r="D293" s="53">
        <f>IF(B293="","",IFERROR(INDEX('食材の単価'!$D$5:$D$204,MATCH(B293,'食材の単価'!$A$5:$A$204,0))&amp;"",""))</f>
        <v/>
      </c>
      <c r="E293" s="80">
        <f>IF(B293="","",IFERROR(INDEX('食材の単価'!$G$5:$G$204,MATCH(B293,'食材の単価'!$A$5:$A$204,0)),""))</f>
        <v/>
      </c>
      <c r="F293" s="78">
        <f>IF(AND(ISNUMBER(C293),ISNUMBER(E293)),C293*E293,"")</f>
        <v/>
      </c>
      <c r="G293" s="33" t="n"/>
      <c r="H293" s="34">
        <f>IF(COUNTA(A293:C293,G293)=0,"",IF(TRIM(A293)="","メニュー名がありません",IF(ISNA(MATCH(A293,'メニュー原価率'!$A$8:$A$107,0)),"メニュー原価率に無いメニューです",IF(TRIM(B293)="","食材名がありません",IF(ISNA(MATCH(B293,'食材の単価'!$A$5:$A$204,0)),"食材の単価に無い食材です",IF(NOT(ISNUMBER(C293)),"使用量がありません",IF(NOT(ISNUMBER(E293)),"食材の単価が出ていません（仕入価格・仕入量）","")))))))</f>
        <v/>
      </c>
    </row>
    <row r="294" ht="16" customHeight="1">
      <c r="A294" s="38" t="n"/>
      <c r="B294" s="38" t="n"/>
      <c r="C294" s="39" t="n"/>
      <c r="D294" s="53">
        <f>IF(B294="","",IFERROR(INDEX('食材の単価'!$D$5:$D$204,MATCH(B294,'食材の単価'!$A$5:$A$204,0))&amp;"",""))</f>
        <v/>
      </c>
      <c r="E294" s="80">
        <f>IF(B294="","",IFERROR(INDEX('食材の単価'!$G$5:$G$204,MATCH(B294,'食材の単価'!$A$5:$A$204,0)),""))</f>
        <v/>
      </c>
      <c r="F294" s="78">
        <f>IF(AND(ISNUMBER(C294),ISNUMBER(E294)),C294*E294,"")</f>
        <v/>
      </c>
      <c r="G294" s="33" t="n"/>
      <c r="H294" s="34">
        <f>IF(COUNTA(A294:C294,G294)=0,"",IF(TRIM(A294)="","メニュー名がありません",IF(ISNA(MATCH(A294,'メニュー原価率'!$A$8:$A$107,0)),"メニュー原価率に無いメニューです",IF(TRIM(B294)="","食材名がありません",IF(ISNA(MATCH(B294,'食材の単価'!$A$5:$A$204,0)),"食材の単価に無い食材です",IF(NOT(ISNUMBER(C294)),"使用量がありません",IF(NOT(ISNUMBER(E294)),"食材の単価が出ていません（仕入価格・仕入量）","")))))))</f>
        <v/>
      </c>
    </row>
    <row r="295" ht="16" customHeight="1">
      <c r="A295" s="38" t="n"/>
      <c r="B295" s="38" t="n"/>
      <c r="C295" s="39" t="n"/>
      <c r="D295" s="53">
        <f>IF(B295="","",IFERROR(INDEX('食材の単価'!$D$5:$D$204,MATCH(B295,'食材の単価'!$A$5:$A$204,0))&amp;"",""))</f>
        <v/>
      </c>
      <c r="E295" s="80">
        <f>IF(B295="","",IFERROR(INDEX('食材の単価'!$G$5:$G$204,MATCH(B295,'食材の単価'!$A$5:$A$204,0)),""))</f>
        <v/>
      </c>
      <c r="F295" s="78">
        <f>IF(AND(ISNUMBER(C295),ISNUMBER(E295)),C295*E295,"")</f>
        <v/>
      </c>
      <c r="G295" s="33" t="n"/>
      <c r="H295" s="34">
        <f>IF(COUNTA(A295:C295,G295)=0,"",IF(TRIM(A295)="","メニュー名がありません",IF(ISNA(MATCH(A295,'メニュー原価率'!$A$8:$A$107,0)),"メニュー原価率に無いメニューです",IF(TRIM(B295)="","食材名がありません",IF(ISNA(MATCH(B295,'食材の単価'!$A$5:$A$204,0)),"食材の単価に無い食材です",IF(NOT(ISNUMBER(C295)),"使用量がありません",IF(NOT(ISNUMBER(E295)),"食材の単価が出ていません（仕入価格・仕入量）","")))))))</f>
        <v/>
      </c>
    </row>
    <row r="296" ht="16" customHeight="1">
      <c r="A296" s="38" t="n"/>
      <c r="B296" s="38" t="n"/>
      <c r="C296" s="39" t="n"/>
      <c r="D296" s="53">
        <f>IF(B296="","",IFERROR(INDEX('食材の単価'!$D$5:$D$204,MATCH(B296,'食材の単価'!$A$5:$A$204,0))&amp;"",""))</f>
        <v/>
      </c>
      <c r="E296" s="80">
        <f>IF(B296="","",IFERROR(INDEX('食材の単価'!$G$5:$G$204,MATCH(B296,'食材の単価'!$A$5:$A$204,0)),""))</f>
        <v/>
      </c>
      <c r="F296" s="78">
        <f>IF(AND(ISNUMBER(C296),ISNUMBER(E296)),C296*E296,"")</f>
        <v/>
      </c>
      <c r="G296" s="33" t="n"/>
      <c r="H296" s="34">
        <f>IF(COUNTA(A296:C296,G296)=0,"",IF(TRIM(A296)="","メニュー名がありません",IF(ISNA(MATCH(A296,'メニュー原価率'!$A$8:$A$107,0)),"メニュー原価率に無いメニューです",IF(TRIM(B296)="","食材名がありません",IF(ISNA(MATCH(B296,'食材の単価'!$A$5:$A$204,0)),"食材の単価に無い食材です",IF(NOT(ISNUMBER(C296)),"使用量がありません",IF(NOT(ISNUMBER(E296)),"食材の単価が出ていません（仕入価格・仕入量）","")))))))</f>
        <v/>
      </c>
    </row>
    <row r="297" ht="16" customHeight="1">
      <c r="A297" s="38" t="n"/>
      <c r="B297" s="38" t="n"/>
      <c r="C297" s="39" t="n"/>
      <c r="D297" s="53">
        <f>IF(B297="","",IFERROR(INDEX('食材の単価'!$D$5:$D$204,MATCH(B297,'食材の単価'!$A$5:$A$204,0))&amp;"",""))</f>
        <v/>
      </c>
      <c r="E297" s="80">
        <f>IF(B297="","",IFERROR(INDEX('食材の単価'!$G$5:$G$204,MATCH(B297,'食材の単価'!$A$5:$A$204,0)),""))</f>
        <v/>
      </c>
      <c r="F297" s="78">
        <f>IF(AND(ISNUMBER(C297),ISNUMBER(E297)),C297*E297,"")</f>
        <v/>
      </c>
      <c r="G297" s="33" t="n"/>
      <c r="H297" s="34">
        <f>IF(COUNTA(A297:C297,G297)=0,"",IF(TRIM(A297)="","メニュー名がありません",IF(ISNA(MATCH(A297,'メニュー原価率'!$A$8:$A$107,0)),"メニュー原価率に無いメニューです",IF(TRIM(B297)="","食材名がありません",IF(ISNA(MATCH(B297,'食材の単価'!$A$5:$A$204,0)),"食材の単価に無い食材です",IF(NOT(ISNUMBER(C297)),"使用量がありません",IF(NOT(ISNUMBER(E297)),"食材の単価が出ていません（仕入価格・仕入量）","")))))))</f>
        <v/>
      </c>
    </row>
    <row r="298" ht="16" customHeight="1">
      <c r="A298" s="38" t="n"/>
      <c r="B298" s="38" t="n"/>
      <c r="C298" s="39" t="n"/>
      <c r="D298" s="53">
        <f>IF(B298="","",IFERROR(INDEX('食材の単価'!$D$5:$D$204,MATCH(B298,'食材の単価'!$A$5:$A$204,0))&amp;"",""))</f>
        <v/>
      </c>
      <c r="E298" s="80">
        <f>IF(B298="","",IFERROR(INDEX('食材の単価'!$G$5:$G$204,MATCH(B298,'食材の単価'!$A$5:$A$204,0)),""))</f>
        <v/>
      </c>
      <c r="F298" s="78">
        <f>IF(AND(ISNUMBER(C298),ISNUMBER(E298)),C298*E298,"")</f>
        <v/>
      </c>
      <c r="G298" s="33" t="n"/>
      <c r="H298" s="34">
        <f>IF(COUNTA(A298:C298,G298)=0,"",IF(TRIM(A298)="","メニュー名がありません",IF(ISNA(MATCH(A298,'メニュー原価率'!$A$8:$A$107,0)),"メニュー原価率に無いメニューです",IF(TRIM(B298)="","食材名がありません",IF(ISNA(MATCH(B298,'食材の単価'!$A$5:$A$204,0)),"食材の単価に無い食材です",IF(NOT(ISNUMBER(C298)),"使用量がありません",IF(NOT(ISNUMBER(E298)),"食材の単価が出ていません（仕入価格・仕入量）","")))))))</f>
        <v/>
      </c>
    </row>
    <row r="299" ht="16" customHeight="1">
      <c r="A299" s="38" t="n"/>
      <c r="B299" s="38" t="n"/>
      <c r="C299" s="39" t="n"/>
      <c r="D299" s="53">
        <f>IF(B299="","",IFERROR(INDEX('食材の単価'!$D$5:$D$204,MATCH(B299,'食材の単価'!$A$5:$A$204,0))&amp;"",""))</f>
        <v/>
      </c>
      <c r="E299" s="80">
        <f>IF(B299="","",IFERROR(INDEX('食材の単価'!$G$5:$G$204,MATCH(B299,'食材の単価'!$A$5:$A$204,0)),""))</f>
        <v/>
      </c>
      <c r="F299" s="78">
        <f>IF(AND(ISNUMBER(C299),ISNUMBER(E299)),C299*E299,"")</f>
        <v/>
      </c>
      <c r="G299" s="33" t="n"/>
      <c r="H299" s="34">
        <f>IF(COUNTA(A299:C299,G299)=0,"",IF(TRIM(A299)="","メニュー名がありません",IF(ISNA(MATCH(A299,'メニュー原価率'!$A$8:$A$107,0)),"メニュー原価率に無いメニューです",IF(TRIM(B299)="","食材名がありません",IF(ISNA(MATCH(B299,'食材の単価'!$A$5:$A$204,0)),"食材の単価に無い食材です",IF(NOT(ISNUMBER(C299)),"使用量がありません",IF(NOT(ISNUMBER(E299)),"食材の単価が出ていません（仕入価格・仕入量）","")))))))</f>
        <v/>
      </c>
    </row>
    <row r="300" ht="16" customHeight="1">
      <c r="A300" s="38" t="n"/>
      <c r="B300" s="38" t="n"/>
      <c r="C300" s="39" t="n"/>
      <c r="D300" s="53">
        <f>IF(B300="","",IFERROR(INDEX('食材の単価'!$D$5:$D$204,MATCH(B300,'食材の単価'!$A$5:$A$204,0))&amp;"",""))</f>
        <v/>
      </c>
      <c r="E300" s="80">
        <f>IF(B300="","",IFERROR(INDEX('食材の単価'!$G$5:$G$204,MATCH(B300,'食材の単価'!$A$5:$A$204,0)),""))</f>
        <v/>
      </c>
      <c r="F300" s="78">
        <f>IF(AND(ISNUMBER(C300),ISNUMBER(E300)),C300*E300,"")</f>
        <v/>
      </c>
      <c r="G300" s="33" t="n"/>
      <c r="H300" s="34">
        <f>IF(COUNTA(A300:C300,G300)=0,"",IF(TRIM(A300)="","メニュー名がありません",IF(ISNA(MATCH(A300,'メニュー原価率'!$A$8:$A$107,0)),"メニュー原価率に無いメニューです",IF(TRIM(B300)="","食材名がありません",IF(ISNA(MATCH(B300,'食材の単価'!$A$5:$A$204,0)),"食材の単価に無い食材です",IF(NOT(ISNUMBER(C300)),"使用量がありません",IF(NOT(ISNUMBER(E300)),"食材の単価が出ていません（仕入価格・仕入量）","")))))))</f>
        <v/>
      </c>
    </row>
    <row r="301" ht="16" customHeight="1">
      <c r="A301" s="38" t="n"/>
      <c r="B301" s="38" t="n"/>
      <c r="C301" s="39" t="n"/>
      <c r="D301" s="53">
        <f>IF(B301="","",IFERROR(INDEX('食材の単価'!$D$5:$D$204,MATCH(B301,'食材の単価'!$A$5:$A$204,0))&amp;"",""))</f>
        <v/>
      </c>
      <c r="E301" s="80">
        <f>IF(B301="","",IFERROR(INDEX('食材の単価'!$G$5:$G$204,MATCH(B301,'食材の単価'!$A$5:$A$204,0)),""))</f>
        <v/>
      </c>
      <c r="F301" s="78">
        <f>IF(AND(ISNUMBER(C301),ISNUMBER(E301)),C301*E301,"")</f>
        <v/>
      </c>
      <c r="G301" s="33" t="n"/>
      <c r="H301" s="34">
        <f>IF(COUNTA(A301:C301,G301)=0,"",IF(TRIM(A301)="","メニュー名がありません",IF(ISNA(MATCH(A301,'メニュー原価率'!$A$8:$A$107,0)),"メニュー原価率に無いメニューです",IF(TRIM(B301)="","食材名がありません",IF(ISNA(MATCH(B301,'食材の単価'!$A$5:$A$204,0)),"食材の単価に無い食材です",IF(NOT(ISNUMBER(C301)),"使用量がありません",IF(NOT(ISNUMBER(E301)),"食材の単価が出ていません（仕入価格・仕入量）","")))))))</f>
        <v/>
      </c>
    </row>
    <row r="302" ht="16" customHeight="1">
      <c r="A302" s="38" t="n"/>
      <c r="B302" s="38" t="n"/>
      <c r="C302" s="39" t="n"/>
      <c r="D302" s="53">
        <f>IF(B302="","",IFERROR(INDEX('食材の単価'!$D$5:$D$204,MATCH(B302,'食材の単価'!$A$5:$A$204,0))&amp;"",""))</f>
        <v/>
      </c>
      <c r="E302" s="80">
        <f>IF(B302="","",IFERROR(INDEX('食材の単価'!$G$5:$G$204,MATCH(B302,'食材の単価'!$A$5:$A$204,0)),""))</f>
        <v/>
      </c>
      <c r="F302" s="78">
        <f>IF(AND(ISNUMBER(C302),ISNUMBER(E302)),C302*E302,"")</f>
        <v/>
      </c>
      <c r="G302" s="33" t="n"/>
      <c r="H302" s="34">
        <f>IF(COUNTA(A302:C302,G302)=0,"",IF(TRIM(A302)="","メニュー名がありません",IF(ISNA(MATCH(A302,'メニュー原価率'!$A$8:$A$107,0)),"メニュー原価率に無いメニューです",IF(TRIM(B302)="","食材名がありません",IF(ISNA(MATCH(B302,'食材の単価'!$A$5:$A$204,0)),"食材の単価に無い食材です",IF(NOT(ISNUMBER(C302)),"使用量がありません",IF(NOT(ISNUMBER(E302)),"食材の単価が出ていません（仕入価格・仕入量）","")))))))</f>
        <v/>
      </c>
    </row>
    <row r="303" ht="16" customHeight="1">
      <c r="A303" s="38" t="n"/>
      <c r="B303" s="38" t="n"/>
      <c r="C303" s="39" t="n"/>
      <c r="D303" s="53">
        <f>IF(B303="","",IFERROR(INDEX('食材の単価'!$D$5:$D$204,MATCH(B303,'食材の単価'!$A$5:$A$204,0))&amp;"",""))</f>
        <v/>
      </c>
      <c r="E303" s="80">
        <f>IF(B303="","",IFERROR(INDEX('食材の単価'!$G$5:$G$204,MATCH(B303,'食材の単価'!$A$5:$A$204,0)),""))</f>
        <v/>
      </c>
      <c r="F303" s="78">
        <f>IF(AND(ISNUMBER(C303),ISNUMBER(E303)),C303*E303,"")</f>
        <v/>
      </c>
      <c r="G303" s="33" t="n"/>
      <c r="H303" s="34">
        <f>IF(COUNTA(A303:C303,G303)=0,"",IF(TRIM(A303)="","メニュー名がありません",IF(ISNA(MATCH(A303,'メニュー原価率'!$A$8:$A$107,0)),"メニュー原価率に無いメニューです",IF(TRIM(B303)="","食材名がありません",IF(ISNA(MATCH(B303,'食材の単価'!$A$5:$A$204,0)),"食材の単価に無い食材です",IF(NOT(ISNUMBER(C303)),"使用量がありません",IF(NOT(ISNUMBER(E303)),"食材の単価が出ていません（仕入価格・仕入量）","")))))))</f>
        <v/>
      </c>
    </row>
    <row r="304" ht="16" customHeight="1">
      <c r="A304" s="38" t="n"/>
      <c r="B304" s="38" t="n"/>
      <c r="C304" s="39" t="n"/>
      <c r="D304" s="53">
        <f>IF(B304="","",IFERROR(INDEX('食材の単価'!$D$5:$D$204,MATCH(B304,'食材の単価'!$A$5:$A$204,0))&amp;"",""))</f>
        <v/>
      </c>
      <c r="E304" s="80">
        <f>IF(B304="","",IFERROR(INDEX('食材の単価'!$G$5:$G$204,MATCH(B304,'食材の単価'!$A$5:$A$204,0)),""))</f>
        <v/>
      </c>
      <c r="F304" s="78">
        <f>IF(AND(ISNUMBER(C304),ISNUMBER(E304)),C304*E304,"")</f>
        <v/>
      </c>
      <c r="G304" s="33" t="n"/>
      <c r="H304" s="34">
        <f>IF(COUNTA(A304:C304,G304)=0,"",IF(TRIM(A304)="","メニュー名がありません",IF(ISNA(MATCH(A304,'メニュー原価率'!$A$8:$A$107,0)),"メニュー原価率に無いメニューです",IF(TRIM(B304)="","食材名がありません",IF(ISNA(MATCH(B304,'食材の単価'!$A$5:$A$204,0)),"食材の単価に無い食材です",IF(NOT(ISNUMBER(C304)),"使用量がありません",IF(NOT(ISNUMBER(E304)),"食材の単価が出ていません（仕入価格・仕入量）","")))))))</f>
        <v/>
      </c>
    </row>
    <row r="305" ht="16" customHeight="1">
      <c r="A305" s="38" t="n"/>
      <c r="B305" s="38" t="n"/>
      <c r="C305" s="39" t="n"/>
      <c r="D305" s="53">
        <f>IF(B305="","",IFERROR(INDEX('食材の単価'!$D$5:$D$204,MATCH(B305,'食材の単価'!$A$5:$A$204,0))&amp;"",""))</f>
        <v/>
      </c>
      <c r="E305" s="80">
        <f>IF(B305="","",IFERROR(INDEX('食材の単価'!$G$5:$G$204,MATCH(B305,'食材の単価'!$A$5:$A$204,0)),""))</f>
        <v/>
      </c>
      <c r="F305" s="78">
        <f>IF(AND(ISNUMBER(C305),ISNUMBER(E305)),C305*E305,"")</f>
        <v/>
      </c>
      <c r="G305" s="33" t="n"/>
      <c r="H305" s="34">
        <f>IF(COUNTA(A305:C305,G305)=0,"",IF(TRIM(A305)="","メニュー名がありません",IF(ISNA(MATCH(A305,'メニュー原価率'!$A$8:$A$107,0)),"メニュー原価率に無いメニューです",IF(TRIM(B305)="","食材名がありません",IF(ISNA(MATCH(B305,'食材の単価'!$A$5:$A$204,0)),"食材の単価に無い食材です",IF(NOT(ISNUMBER(C305)),"使用量がありません",IF(NOT(ISNUMBER(E305)),"食材の単価が出ていません（仕入価格・仕入量）","")))))))</f>
        <v/>
      </c>
    </row>
    <row r="306" ht="16" customHeight="1">
      <c r="A306" s="38" t="n"/>
      <c r="B306" s="38" t="n"/>
      <c r="C306" s="39" t="n"/>
      <c r="D306" s="53">
        <f>IF(B306="","",IFERROR(INDEX('食材の単価'!$D$5:$D$204,MATCH(B306,'食材の単価'!$A$5:$A$204,0))&amp;"",""))</f>
        <v/>
      </c>
      <c r="E306" s="80">
        <f>IF(B306="","",IFERROR(INDEX('食材の単価'!$G$5:$G$204,MATCH(B306,'食材の単価'!$A$5:$A$204,0)),""))</f>
        <v/>
      </c>
      <c r="F306" s="78">
        <f>IF(AND(ISNUMBER(C306),ISNUMBER(E306)),C306*E306,"")</f>
        <v/>
      </c>
      <c r="G306" s="33" t="n"/>
      <c r="H306" s="34">
        <f>IF(COUNTA(A306:C306,G306)=0,"",IF(TRIM(A306)="","メニュー名がありません",IF(ISNA(MATCH(A306,'メニュー原価率'!$A$8:$A$107,0)),"メニュー原価率に無いメニューです",IF(TRIM(B306)="","食材名がありません",IF(ISNA(MATCH(B306,'食材の単価'!$A$5:$A$204,0)),"食材の単価に無い食材です",IF(NOT(ISNUMBER(C306)),"使用量がありません",IF(NOT(ISNUMBER(E306)),"食材の単価が出ていません（仕入価格・仕入量）","")))))))</f>
        <v/>
      </c>
    </row>
    <row r="307" ht="16" customHeight="1">
      <c r="A307" s="38" t="n"/>
      <c r="B307" s="38" t="n"/>
      <c r="C307" s="39" t="n"/>
      <c r="D307" s="53">
        <f>IF(B307="","",IFERROR(INDEX('食材の単価'!$D$5:$D$204,MATCH(B307,'食材の単価'!$A$5:$A$204,0))&amp;"",""))</f>
        <v/>
      </c>
      <c r="E307" s="80">
        <f>IF(B307="","",IFERROR(INDEX('食材の単価'!$G$5:$G$204,MATCH(B307,'食材の単価'!$A$5:$A$204,0)),""))</f>
        <v/>
      </c>
      <c r="F307" s="78">
        <f>IF(AND(ISNUMBER(C307),ISNUMBER(E307)),C307*E307,"")</f>
        <v/>
      </c>
      <c r="G307" s="33" t="n"/>
      <c r="H307" s="34">
        <f>IF(COUNTA(A307:C307,G307)=0,"",IF(TRIM(A307)="","メニュー名がありません",IF(ISNA(MATCH(A307,'メニュー原価率'!$A$8:$A$107,0)),"メニュー原価率に無いメニューです",IF(TRIM(B307)="","食材名がありません",IF(ISNA(MATCH(B307,'食材の単価'!$A$5:$A$204,0)),"食材の単価に無い食材です",IF(NOT(ISNUMBER(C307)),"使用量がありません",IF(NOT(ISNUMBER(E307)),"食材の単価が出ていません（仕入価格・仕入量）","")))))))</f>
        <v/>
      </c>
    </row>
    <row r="308" ht="16" customHeight="1">
      <c r="A308" s="38" t="n"/>
      <c r="B308" s="38" t="n"/>
      <c r="C308" s="39" t="n"/>
      <c r="D308" s="53">
        <f>IF(B308="","",IFERROR(INDEX('食材の単価'!$D$5:$D$204,MATCH(B308,'食材の単価'!$A$5:$A$204,0))&amp;"",""))</f>
        <v/>
      </c>
      <c r="E308" s="80">
        <f>IF(B308="","",IFERROR(INDEX('食材の単価'!$G$5:$G$204,MATCH(B308,'食材の単価'!$A$5:$A$204,0)),""))</f>
        <v/>
      </c>
      <c r="F308" s="78">
        <f>IF(AND(ISNUMBER(C308),ISNUMBER(E308)),C308*E308,"")</f>
        <v/>
      </c>
      <c r="G308" s="33" t="n"/>
      <c r="H308" s="34">
        <f>IF(COUNTA(A308:C308,G308)=0,"",IF(TRIM(A308)="","メニュー名がありません",IF(ISNA(MATCH(A308,'メニュー原価率'!$A$8:$A$107,0)),"メニュー原価率に無いメニューです",IF(TRIM(B308)="","食材名がありません",IF(ISNA(MATCH(B308,'食材の単価'!$A$5:$A$204,0)),"食材の単価に無い食材です",IF(NOT(ISNUMBER(C308)),"使用量がありません",IF(NOT(ISNUMBER(E308)),"食材の単価が出ていません（仕入価格・仕入量）","")))))))</f>
        <v/>
      </c>
    </row>
    <row r="309" ht="16" customHeight="1">
      <c r="A309" s="38" t="n"/>
      <c r="B309" s="38" t="n"/>
      <c r="C309" s="39" t="n"/>
      <c r="D309" s="53">
        <f>IF(B309="","",IFERROR(INDEX('食材の単価'!$D$5:$D$204,MATCH(B309,'食材の単価'!$A$5:$A$204,0))&amp;"",""))</f>
        <v/>
      </c>
      <c r="E309" s="80">
        <f>IF(B309="","",IFERROR(INDEX('食材の単価'!$G$5:$G$204,MATCH(B309,'食材の単価'!$A$5:$A$204,0)),""))</f>
        <v/>
      </c>
      <c r="F309" s="78">
        <f>IF(AND(ISNUMBER(C309),ISNUMBER(E309)),C309*E309,"")</f>
        <v/>
      </c>
      <c r="G309" s="33" t="n"/>
      <c r="H309" s="34">
        <f>IF(COUNTA(A309:C309,G309)=0,"",IF(TRIM(A309)="","メニュー名がありません",IF(ISNA(MATCH(A309,'メニュー原価率'!$A$8:$A$107,0)),"メニュー原価率に無いメニューです",IF(TRIM(B309)="","食材名がありません",IF(ISNA(MATCH(B309,'食材の単価'!$A$5:$A$204,0)),"食材の単価に無い食材です",IF(NOT(ISNUMBER(C309)),"使用量がありません",IF(NOT(ISNUMBER(E309)),"食材の単価が出ていません（仕入価格・仕入量）","")))))))</f>
        <v/>
      </c>
    </row>
    <row r="310" ht="16" customHeight="1">
      <c r="A310" s="38" t="n"/>
      <c r="B310" s="38" t="n"/>
      <c r="C310" s="39" t="n"/>
      <c r="D310" s="53">
        <f>IF(B310="","",IFERROR(INDEX('食材の単価'!$D$5:$D$204,MATCH(B310,'食材の単価'!$A$5:$A$204,0))&amp;"",""))</f>
        <v/>
      </c>
      <c r="E310" s="80">
        <f>IF(B310="","",IFERROR(INDEX('食材の単価'!$G$5:$G$204,MATCH(B310,'食材の単価'!$A$5:$A$204,0)),""))</f>
        <v/>
      </c>
      <c r="F310" s="78">
        <f>IF(AND(ISNUMBER(C310),ISNUMBER(E310)),C310*E310,"")</f>
        <v/>
      </c>
      <c r="G310" s="33" t="n"/>
      <c r="H310" s="34">
        <f>IF(COUNTA(A310:C310,G310)=0,"",IF(TRIM(A310)="","メニュー名がありません",IF(ISNA(MATCH(A310,'メニュー原価率'!$A$8:$A$107,0)),"メニュー原価率に無いメニューです",IF(TRIM(B310)="","食材名がありません",IF(ISNA(MATCH(B310,'食材の単価'!$A$5:$A$204,0)),"食材の単価に無い食材です",IF(NOT(ISNUMBER(C310)),"使用量がありません",IF(NOT(ISNUMBER(E310)),"食材の単価が出ていません（仕入価格・仕入量）","")))))))</f>
        <v/>
      </c>
    </row>
    <row r="311" ht="16" customHeight="1">
      <c r="A311" s="38" t="n"/>
      <c r="B311" s="38" t="n"/>
      <c r="C311" s="39" t="n"/>
      <c r="D311" s="53">
        <f>IF(B311="","",IFERROR(INDEX('食材の単価'!$D$5:$D$204,MATCH(B311,'食材の単価'!$A$5:$A$204,0))&amp;"",""))</f>
        <v/>
      </c>
      <c r="E311" s="80">
        <f>IF(B311="","",IFERROR(INDEX('食材の単価'!$G$5:$G$204,MATCH(B311,'食材の単価'!$A$5:$A$204,0)),""))</f>
        <v/>
      </c>
      <c r="F311" s="78">
        <f>IF(AND(ISNUMBER(C311),ISNUMBER(E311)),C311*E311,"")</f>
        <v/>
      </c>
      <c r="G311" s="33" t="n"/>
      <c r="H311" s="34">
        <f>IF(COUNTA(A311:C311,G311)=0,"",IF(TRIM(A311)="","メニュー名がありません",IF(ISNA(MATCH(A311,'メニュー原価率'!$A$8:$A$107,0)),"メニュー原価率に無いメニューです",IF(TRIM(B311)="","食材名がありません",IF(ISNA(MATCH(B311,'食材の単価'!$A$5:$A$204,0)),"食材の単価に無い食材です",IF(NOT(ISNUMBER(C311)),"使用量がありません",IF(NOT(ISNUMBER(E311)),"食材の単価が出ていません（仕入価格・仕入量）","")))))))</f>
        <v/>
      </c>
    </row>
    <row r="312" ht="16" customHeight="1">
      <c r="A312" s="38" t="n"/>
      <c r="B312" s="38" t="n"/>
      <c r="C312" s="39" t="n"/>
      <c r="D312" s="53">
        <f>IF(B312="","",IFERROR(INDEX('食材の単価'!$D$5:$D$204,MATCH(B312,'食材の単価'!$A$5:$A$204,0))&amp;"",""))</f>
        <v/>
      </c>
      <c r="E312" s="80">
        <f>IF(B312="","",IFERROR(INDEX('食材の単価'!$G$5:$G$204,MATCH(B312,'食材の単価'!$A$5:$A$204,0)),""))</f>
        <v/>
      </c>
      <c r="F312" s="78">
        <f>IF(AND(ISNUMBER(C312),ISNUMBER(E312)),C312*E312,"")</f>
        <v/>
      </c>
      <c r="G312" s="33" t="n"/>
      <c r="H312" s="34">
        <f>IF(COUNTA(A312:C312,G312)=0,"",IF(TRIM(A312)="","メニュー名がありません",IF(ISNA(MATCH(A312,'メニュー原価率'!$A$8:$A$107,0)),"メニュー原価率に無いメニューです",IF(TRIM(B312)="","食材名がありません",IF(ISNA(MATCH(B312,'食材の単価'!$A$5:$A$204,0)),"食材の単価に無い食材です",IF(NOT(ISNUMBER(C312)),"使用量がありません",IF(NOT(ISNUMBER(E312)),"食材の単価が出ていません（仕入価格・仕入量）","")))))))</f>
        <v/>
      </c>
    </row>
    <row r="313" ht="16" customHeight="1">
      <c r="A313" s="38" t="n"/>
      <c r="B313" s="38" t="n"/>
      <c r="C313" s="39" t="n"/>
      <c r="D313" s="53">
        <f>IF(B313="","",IFERROR(INDEX('食材の単価'!$D$5:$D$204,MATCH(B313,'食材の単価'!$A$5:$A$204,0))&amp;"",""))</f>
        <v/>
      </c>
      <c r="E313" s="80">
        <f>IF(B313="","",IFERROR(INDEX('食材の単価'!$G$5:$G$204,MATCH(B313,'食材の単価'!$A$5:$A$204,0)),""))</f>
        <v/>
      </c>
      <c r="F313" s="78">
        <f>IF(AND(ISNUMBER(C313),ISNUMBER(E313)),C313*E313,"")</f>
        <v/>
      </c>
      <c r="G313" s="33" t="n"/>
      <c r="H313" s="34">
        <f>IF(COUNTA(A313:C313,G313)=0,"",IF(TRIM(A313)="","メニュー名がありません",IF(ISNA(MATCH(A313,'メニュー原価率'!$A$8:$A$107,0)),"メニュー原価率に無いメニューです",IF(TRIM(B313)="","食材名がありません",IF(ISNA(MATCH(B313,'食材の単価'!$A$5:$A$204,0)),"食材の単価に無い食材です",IF(NOT(ISNUMBER(C313)),"使用量がありません",IF(NOT(ISNUMBER(E313)),"食材の単価が出ていません（仕入価格・仕入量）","")))))))</f>
        <v/>
      </c>
    </row>
    <row r="314" ht="16" customHeight="1">
      <c r="A314" s="38" t="n"/>
      <c r="B314" s="38" t="n"/>
      <c r="C314" s="39" t="n"/>
      <c r="D314" s="53">
        <f>IF(B314="","",IFERROR(INDEX('食材の単価'!$D$5:$D$204,MATCH(B314,'食材の単価'!$A$5:$A$204,0))&amp;"",""))</f>
        <v/>
      </c>
      <c r="E314" s="80">
        <f>IF(B314="","",IFERROR(INDEX('食材の単価'!$G$5:$G$204,MATCH(B314,'食材の単価'!$A$5:$A$204,0)),""))</f>
        <v/>
      </c>
      <c r="F314" s="78">
        <f>IF(AND(ISNUMBER(C314),ISNUMBER(E314)),C314*E314,"")</f>
        <v/>
      </c>
      <c r="G314" s="33" t="n"/>
      <c r="H314" s="34">
        <f>IF(COUNTA(A314:C314,G314)=0,"",IF(TRIM(A314)="","メニュー名がありません",IF(ISNA(MATCH(A314,'メニュー原価率'!$A$8:$A$107,0)),"メニュー原価率に無いメニューです",IF(TRIM(B314)="","食材名がありません",IF(ISNA(MATCH(B314,'食材の単価'!$A$5:$A$204,0)),"食材の単価に無い食材です",IF(NOT(ISNUMBER(C314)),"使用量がありません",IF(NOT(ISNUMBER(E314)),"食材の単価が出ていません（仕入価格・仕入量）","")))))))</f>
        <v/>
      </c>
    </row>
    <row r="315" ht="16" customHeight="1">
      <c r="A315" s="38" t="n"/>
      <c r="B315" s="38" t="n"/>
      <c r="C315" s="39" t="n"/>
      <c r="D315" s="53">
        <f>IF(B315="","",IFERROR(INDEX('食材の単価'!$D$5:$D$204,MATCH(B315,'食材の単価'!$A$5:$A$204,0))&amp;"",""))</f>
        <v/>
      </c>
      <c r="E315" s="80">
        <f>IF(B315="","",IFERROR(INDEX('食材の単価'!$G$5:$G$204,MATCH(B315,'食材の単価'!$A$5:$A$204,0)),""))</f>
        <v/>
      </c>
      <c r="F315" s="78">
        <f>IF(AND(ISNUMBER(C315),ISNUMBER(E315)),C315*E315,"")</f>
        <v/>
      </c>
      <c r="G315" s="33" t="n"/>
      <c r="H315" s="34">
        <f>IF(COUNTA(A315:C315,G315)=0,"",IF(TRIM(A315)="","メニュー名がありません",IF(ISNA(MATCH(A315,'メニュー原価率'!$A$8:$A$107,0)),"メニュー原価率に無いメニューです",IF(TRIM(B315)="","食材名がありません",IF(ISNA(MATCH(B315,'食材の単価'!$A$5:$A$204,0)),"食材の単価に無い食材です",IF(NOT(ISNUMBER(C315)),"使用量がありません",IF(NOT(ISNUMBER(E315)),"食材の単価が出ていません（仕入価格・仕入量）","")))))))</f>
        <v/>
      </c>
    </row>
    <row r="316" ht="16" customHeight="1">
      <c r="A316" s="38" t="n"/>
      <c r="B316" s="38" t="n"/>
      <c r="C316" s="39" t="n"/>
      <c r="D316" s="53">
        <f>IF(B316="","",IFERROR(INDEX('食材の単価'!$D$5:$D$204,MATCH(B316,'食材の単価'!$A$5:$A$204,0))&amp;"",""))</f>
        <v/>
      </c>
      <c r="E316" s="80">
        <f>IF(B316="","",IFERROR(INDEX('食材の単価'!$G$5:$G$204,MATCH(B316,'食材の単価'!$A$5:$A$204,0)),""))</f>
        <v/>
      </c>
      <c r="F316" s="78">
        <f>IF(AND(ISNUMBER(C316),ISNUMBER(E316)),C316*E316,"")</f>
        <v/>
      </c>
      <c r="G316" s="33" t="n"/>
      <c r="H316" s="34">
        <f>IF(COUNTA(A316:C316,G316)=0,"",IF(TRIM(A316)="","メニュー名がありません",IF(ISNA(MATCH(A316,'メニュー原価率'!$A$8:$A$107,0)),"メニュー原価率に無いメニューです",IF(TRIM(B316)="","食材名がありません",IF(ISNA(MATCH(B316,'食材の単価'!$A$5:$A$204,0)),"食材の単価に無い食材です",IF(NOT(ISNUMBER(C316)),"使用量がありません",IF(NOT(ISNUMBER(E316)),"食材の単価が出ていません（仕入価格・仕入量）","")))))))</f>
        <v/>
      </c>
    </row>
    <row r="317" ht="16" customHeight="1">
      <c r="A317" s="38" t="n"/>
      <c r="B317" s="38" t="n"/>
      <c r="C317" s="39" t="n"/>
      <c r="D317" s="53">
        <f>IF(B317="","",IFERROR(INDEX('食材の単価'!$D$5:$D$204,MATCH(B317,'食材の単価'!$A$5:$A$204,0))&amp;"",""))</f>
        <v/>
      </c>
      <c r="E317" s="80">
        <f>IF(B317="","",IFERROR(INDEX('食材の単価'!$G$5:$G$204,MATCH(B317,'食材の単価'!$A$5:$A$204,0)),""))</f>
        <v/>
      </c>
      <c r="F317" s="78">
        <f>IF(AND(ISNUMBER(C317),ISNUMBER(E317)),C317*E317,"")</f>
        <v/>
      </c>
      <c r="G317" s="33" t="n"/>
      <c r="H317" s="34">
        <f>IF(COUNTA(A317:C317,G317)=0,"",IF(TRIM(A317)="","メニュー名がありません",IF(ISNA(MATCH(A317,'メニュー原価率'!$A$8:$A$107,0)),"メニュー原価率に無いメニューです",IF(TRIM(B317)="","食材名がありません",IF(ISNA(MATCH(B317,'食材の単価'!$A$5:$A$204,0)),"食材の単価に無い食材です",IF(NOT(ISNUMBER(C317)),"使用量がありません",IF(NOT(ISNUMBER(E317)),"食材の単価が出ていません（仕入価格・仕入量）","")))))))</f>
        <v/>
      </c>
    </row>
    <row r="318" ht="16" customHeight="1">
      <c r="A318" s="38" t="n"/>
      <c r="B318" s="38" t="n"/>
      <c r="C318" s="39" t="n"/>
      <c r="D318" s="53">
        <f>IF(B318="","",IFERROR(INDEX('食材の単価'!$D$5:$D$204,MATCH(B318,'食材の単価'!$A$5:$A$204,0))&amp;"",""))</f>
        <v/>
      </c>
      <c r="E318" s="80">
        <f>IF(B318="","",IFERROR(INDEX('食材の単価'!$G$5:$G$204,MATCH(B318,'食材の単価'!$A$5:$A$204,0)),""))</f>
        <v/>
      </c>
      <c r="F318" s="78">
        <f>IF(AND(ISNUMBER(C318),ISNUMBER(E318)),C318*E318,"")</f>
        <v/>
      </c>
      <c r="G318" s="33" t="n"/>
      <c r="H318" s="34">
        <f>IF(COUNTA(A318:C318,G318)=0,"",IF(TRIM(A318)="","メニュー名がありません",IF(ISNA(MATCH(A318,'メニュー原価率'!$A$8:$A$107,0)),"メニュー原価率に無いメニューです",IF(TRIM(B318)="","食材名がありません",IF(ISNA(MATCH(B318,'食材の単価'!$A$5:$A$204,0)),"食材の単価に無い食材です",IF(NOT(ISNUMBER(C318)),"使用量がありません",IF(NOT(ISNUMBER(E318)),"食材の単価が出ていません（仕入価格・仕入量）","")))))))</f>
        <v/>
      </c>
    </row>
    <row r="319" ht="16" customHeight="1">
      <c r="A319" s="38" t="n"/>
      <c r="B319" s="38" t="n"/>
      <c r="C319" s="39" t="n"/>
      <c r="D319" s="53">
        <f>IF(B319="","",IFERROR(INDEX('食材の単価'!$D$5:$D$204,MATCH(B319,'食材の単価'!$A$5:$A$204,0))&amp;"",""))</f>
        <v/>
      </c>
      <c r="E319" s="80">
        <f>IF(B319="","",IFERROR(INDEX('食材の単価'!$G$5:$G$204,MATCH(B319,'食材の単価'!$A$5:$A$204,0)),""))</f>
        <v/>
      </c>
      <c r="F319" s="78">
        <f>IF(AND(ISNUMBER(C319),ISNUMBER(E319)),C319*E319,"")</f>
        <v/>
      </c>
      <c r="G319" s="33" t="n"/>
      <c r="H319" s="34">
        <f>IF(COUNTA(A319:C319,G319)=0,"",IF(TRIM(A319)="","メニュー名がありません",IF(ISNA(MATCH(A319,'メニュー原価率'!$A$8:$A$107,0)),"メニュー原価率に無いメニューです",IF(TRIM(B319)="","食材名がありません",IF(ISNA(MATCH(B319,'食材の単価'!$A$5:$A$204,0)),"食材の単価に無い食材です",IF(NOT(ISNUMBER(C319)),"使用量がありません",IF(NOT(ISNUMBER(E319)),"食材の単価が出ていません（仕入価格・仕入量）","")))))))</f>
        <v/>
      </c>
    </row>
    <row r="320" ht="16" customHeight="1">
      <c r="A320" s="38" t="n"/>
      <c r="B320" s="38" t="n"/>
      <c r="C320" s="39" t="n"/>
      <c r="D320" s="53">
        <f>IF(B320="","",IFERROR(INDEX('食材の単価'!$D$5:$D$204,MATCH(B320,'食材の単価'!$A$5:$A$204,0))&amp;"",""))</f>
        <v/>
      </c>
      <c r="E320" s="80">
        <f>IF(B320="","",IFERROR(INDEX('食材の単価'!$G$5:$G$204,MATCH(B320,'食材の単価'!$A$5:$A$204,0)),""))</f>
        <v/>
      </c>
      <c r="F320" s="78">
        <f>IF(AND(ISNUMBER(C320),ISNUMBER(E320)),C320*E320,"")</f>
        <v/>
      </c>
      <c r="G320" s="33" t="n"/>
      <c r="H320" s="34">
        <f>IF(COUNTA(A320:C320,G320)=0,"",IF(TRIM(A320)="","メニュー名がありません",IF(ISNA(MATCH(A320,'メニュー原価率'!$A$8:$A$107,0)),"メニュー原価率に無いメニューです",IF(TRIM(B320)="","食材名がありません",IF(ISNA(MATCH(B320,'食材の単価'!$A$5:$A$204,0)),"食材の単価に無い食材です",IF(NOT(ISNUMBER(C320)),"使用量がありません",IF(NOT(ISNUMBER(E320)),"食材の単価が出ていません（仕入価格・仕入量）","")))))))</f>
        <v/>
      </c>
    </row>
    <row r="321" ht="16" customHeight="1">
      <c r="A321" s="38" t="n"/>
      <c r="B321" s="38" t="n"/>
      <c r="C321" s="39" t="n"/>
      <c r="D321" s="53">
        <f>IF(B321="","",IFERROR(INDEX('食材の単価'!$D$5:$D$204,MATCH(B321,'食材の単価'!$A$5:$A$204,0))&amp;"",""))</f>
        <v/>
      </c>
      <c r="E321" s="80">
        <f>IF(B321="","",IFERROR(INDEX('食材の単価'!$G$5:$G$204,MATCH(B321,'食材の単価'!$A$5:$A$204,0)),""))</f>
        <v/>
      </c>
      <c r="F321" s="78">
        <f>IF(AND(ISNUMBER(C321),ISNUMBER(E321)),C321*E321,"")</f>
        <v/>
      </c>
      <c r="G321" s="33" t="n"/>
      <c r="H321" s="34">
        <f>IF(COUNTA(A321:C321,G321)=0,"",IF(TRIM(A321)="","メニュー名がありません",IF(ISNA(MATCH(A321,'メニュー原価率'!$A$8:$A$107,0)),"メニュー原価率に無いメニューです",IF(TRIM(B321)="","食材名がありません",IF(ISNA(MATCH(B321,'食材の単価'!$A$5:$A$204,0)),"食材の単価に無い食材です",IF(NOT(ISNUMBER(C321)),"使用量がありません",IF(NOT(ISNUMBER(E321)),"食材の単価が出ていません（仕入価格・仕入量）","")))))))</f>
        <v/>
      </c>
    </row>
    <row r="322" ht="16" customHeight="1">
      <c r="A322" s="38" t="n"/>
      <c r="B322" s="38" t="n"/>
      <c r="C322" s="39" t="n"/>
      <c r="D322" s="53">
        <f>IF(B322="","",IFERROR(INDEX('食材の単価'!$D$5:$D$204,MATCH(B322,'食材の単価'!$A$5:$A$204,0))&amp;"",""))</f>
        <v/>
      </c>
      <c r="E322" s="80">
        <f>IF(B322="","",IFERROR(INDEX('食材の単価'!$G$5:$G$204,MATCH(B322,'食材の単価'!$A$5:$A$204,0)),""))</f>
        <v/>
      </c>
      <c r="F322" s="78">
        <f>IF(AND(ISNUMBER(C322),ISNUMBER(E322)),C322*E322,"")</f>
        <v/>
      </c>
      <c r="G322" s="33" t="n"/>
      <c r="H322" s="34">
        <f>IF(COUNTA(A322:C322,G322)=0,"",IF(TRIM(A322)="","メニュー名がありません",IF(ISNA(MATCH(A322,'メニュー原価率'!$A$8:$A$107,0)),"メニュー原価率に無いメニューです",IF(TRIM(B322)="","食材名がありません",IF(ISNA(MATCH(B322,'食材の単価'!$A$5:$A$204,0)),"食材の単価に無い食材です",IF(NOT(ISNUMBER(C322)),"使用量がありません",IF(NOT(ISNUMBER(E322)),"食材の単価が出ていません（仕入価格・仕入量）","")))))))</f>
        <v/>
      </c>
    </row>
    <row r="323" ht="16" customHeight="1">
      <c r="A323" s="38" t="n"/>
      <c r="B323" s="38" t="n"/>
      <c r="C323" s="39" t="n"/>
      <c r="D323" s="53">
        <f>IF(B323="","",IFERROR(INDEX('食材の単価'!$D$5:$D$204,MATCH(B323,'食材の単価'!$A$5:$A$204,0))&amp;"",""))</f>
        <v/>
      </c>
      <c r="E323" s="80">
        <f>IF(B323="","",IFERROR(INDEX('食材の単価'!$G$5:$G$204,MATCH(B323,'食材の単価'!$A$5:$A$204,0)),""))</f>
        <v/>
      </c>
      <c r="F323" s="78">
        <f>IF(AND(ISNUMBER(C323),ISNUMBER(E323)),C323*E323,"")</f>
        <v/>
      </c>
      <c r="G323" s="33" t="n"/>
      <c r="H323" s="34">
        <f>IF(COUNTA(A323:C323,G323)=0,"",IF(TRIM(A323)="","メニュー名がありません",IF(ISNA(MATCH(A323,'メニュー原価率'!$A$8:$A$107,0)),"メニュー原価率に無いメニューです",IF(TRIM(B323)="","食材名がありません",IF(ISNA(MATCH(B323,'食材の単価'!$A$5:$A$204,0)),"食材の単価に無い食材です",IF(NOT(ISNUMBER(C323)),"使用量がありません",IF(NOT(ISNUMBER(E323)),"食材の単価が出ていません（仕入価格・仕入量）","")))))))</f>
        <v/>
      </c>
    </row>
    <row r="324" ht="16" customHeight="1">
      <c r="A324" s="38" t="n"/>
      <c r="B324" s="38" t="n"/>
      <c r="C324" s="39" t="n"/>
      <c r="D324" s="53">
        <f>IF(B324="","",IFERROR(INDEX('食材の単価'!$D$5:$D$204,MATCH(B324,'食材の単価'!$A$5:$A$204,0))&amp;"",""))</f>
        <v/>
      </c>
      <c r="E324" s="80">
        <f>IF(B324="","",IFERROR(INDEX('食材の単価'!$G$5:$G$204,MATCH(B324,'食材の単価'!$A$5:$A$204,0)),""))</f>
        <v/>
      </c>
      <c r="F324" s="78">
        <f>IF(AND(ISNUMBER(C324),ISNUMBER(E324)),C324*E324,"")</f>
        <v/>
      </c>
      <c r="G324" s="33" t="n"/>
      <c r="H324" s="34">
        <f>IF(COUNTA(A324:C324,G324)=0,"",IF(TRIM(A324)="","メニュー名がありません",IF(ISNA(MATCH(A324,'メニュー原価率'!$A$8:$A$107,0)),"メニュー原価率に無いメニューです",IF(TRIM(B324)="","食材名がありません",IF(ISNA(MATCH(B324,'食材の単価'!$A$5:$A$204,0)),"食材の単価に無い食材です",IF(NOT(ISNUMBER(C324)),"使用量がありません",IF(NOT(ISNUMBER(E324)),"食材の単価が出ていません（仕入価格・仕入量）","")))))))</f>
        <v/>
      </c>
    </row>
    <row r="325" ht="16" customHeight="1">
      <c r="A325" s="38" t="n"/>
      <c r="B325" s="38" t="n"/>
      <c r="C325" s="39" t="n"/>
      <c r="D325" s="53">
        <f>IF(B325="","",IFERROR(INDEX('食材の単価'!$D$5:$D$204,MATCH(B325,'食材の単価'!$A$5:$A$204,0))&amp;"",""))</f>
        <v/>
      </c>
      <c r="E325" s="80">
        <f>IF(B325="","",IFERROR(INDEX('食材の単価'!$G$5:$G$204,MATCH(B325,'食材の単価'!$A$5:$A$204,0)),""))</f>
        <v/>
      </c>
      <c r="F325" s="78">
        <f>IF(AND(ISNUMBER(C325),ISNUMBER(E325)),C325*E325,"")</f>
        <v/>
      </c>
      <c r="G325" s="33" t="n"/>
      <c r="H325" s="34">
        <f>IF(COUNTA(A325:C325,G325)=0,"",IF(TRIM(A325)="","メニュー名がありません",IF(ISNA(MATCH(A325,'メニュー原価率'!$A$8:$A$107,0)),"メニュー原価率に無いメニューです",IF(TRIM(B325)="","食材名がありません",IF(ISNA(MATCH(B325,'食材の単価'!$A$5:$A$204,0)),"食材の単価に無い食材です",IF(NOT(ISNUMBER(C325)),"使用量がありません",IF(NOT(ISNUMBER(E325)),"食材の単価が出ていません（仕入価格・仕入量）","")))))))</f>
        <v/>
      </c>
    </row>
    <row r="326" ht="16" customHeight="1">
      <c r="A326" s="38" t="n"/>
      <c r="B326" s="38" t="n"/>
      <c r="C326" s="39" t="n"/>
      <c r="D326" s="53">
        <f>IF(B326="","",IFERROR(INDEX('食材の単価'!$D$5:$D$204,MATCH(B326,'食材の単価'!$A$5:$A$204,0))&amp;"",""))</f>
        <v/>
      </c>
      <c r="E326" s="80">
        <f>IF(B326="","",IFERROR(INDEX('食材の単価'!$G$5:$G$204,MATCH(B326,'食材の単価'!$A$5:$A$204,0)),""))</f>
        <v/>
      </c>
      <c r="F326" s="78">
        <f>IF(AND(ISNUMBER(C326),ISNUMBER(E326)),C326*E326,"")</f>
        <v/>
      </c>
      <c r="G326" s="33" t="n"/>
      <c r="H326" s="34">
        <f>IF(COUNTA(A326:C326,G326)=0,"",IF(TRIM(A326)="","メニュー名がありません",IF(ISNA(MATCH(A326,'メニュー原価率'!$A$8:$A$107,0)),"メニュー原価率に無いメニューです",IF(TRIM(B326)="","食材名がありません",IF(ISNA(MATCH(B326,'食材の単価'!$A$5:$A$204,0)),"食材の単価に無い食材です",IF(NOT(ISNUMBER(C326)),"使用量がありません",IF(NOT(ISNUMBER(E326)),"食材の単価が出ていません（仕入価格・仕入量）","")))))))</f>
        <v/>
      </c>
    </row>
    <row r="327" ht="16" customHeight="1">
      <c r="A327" s="38" t="n"/>
      <c r="B327" s="38" t="n"/>
      <c r="C327" s="39" t="n"/>
      <c r="D327" s="53">
        <f>IF(B327="","",IFERROR(INDEX('食材の単価'!$D$5:$D$204,MATCH(B327,'食材の単価'!$A$5:$A$204,0))&amp;"",""))</f>
        <v/>
      </c>
      <c r="E327" s="80">
        <f>IF(B327="","",IFERROR(INDEX('食材の単価'!$G$5:$G$204,MATCH(B327,'食材の単価'!$A$5:$A$204,0)),""))</f>
        <v/>
      </c>
      <c r="F327" s="78">
        <f>IF(AND(ISNUMBER(C327),ISNUMBER(E327)),C327*E327,"")</f>
        <v/>
      </c>
      <c r="G327" s="33" t="n"/>
      <c r="H327" s="34">
        <f>IF(COUNTA(A327:C327,G327)=0,"",IF(TRIM(A327)="","メニュー名がありません",IF(ISNA(MATCH(A327,'メニュー原価率'!$A$8:$A$107,0)),"メニュー原価率に無いメニューです",IF(TRIM(B327)="","食材名がありません",IF(ISNA(MATCH(B327,'食材の単価'!$A$5:$A$204,0)),"食材の単価に無い食材です",IF(NOT(ISNUMBER(C327)),"使用量がありません",IF(NOT(ISNUMBER(E327)),"食材の単価が出ていません（仕入価格・仕入量）","")))))))</f>
        <v/>
      </c>
    </row>
    <row r="328" ht="16" customHeight="1">
      <c r="A328" s="38" t="n"/>
      <c r="B328" s="38" t="n"/>
      <c r="C328" s="39" t="n"/>
      <c r="D328" s="53">
        <f>IF(B328="","",IFERROR(INDEX('食材の単価'!$D$5:$D$204,MATCH(B328,'食材の単価'!$A$5:$A$204,0))&amp;"",""))</f>
        <v/>
      </c>
      <c r="E328" s="80">
        <f>IF(B328="","",IFERROR(INDEX('食材の単価'!$G$5:$G$204,MATCH(B328,'食材の単価'!$A$5:$A$204,0)),""))</f>
        <v/>
      </c>
      <c r="F328" s="78">
        <f>IF(AND(ISNUMBER(C328),ISNUMBER(E328)),C328*E328,"")</f>
        <v/>
      </c>
      <c r="G328" s="33" t="n"/>
      <c r="H328" s="34">
        <f>IF(COUNTA(A328:C328,G328)=0,"",IF(TRIM(A328)="","メニュー名がありません",IF(ISNA(MATCH(A328,'メニュー原価率'!$A$8:$A$107,0)),"メニュー原価率に無いメニューです",IF(TRIM(B328)="","食材名がありません",IF(ISNA(MATCH(B328,'食材の単価'!$A$5:$A$204,0)),"食材の単価に無い食材です",IF(NOT(ISNUMBER(C328)),"使用量がありません",IF(NOT(ISNUMBER(E328)),"食材の単価が出ていません（仕入価格・仕入量）","")))))))</f>
        <v/>
      </c>
    </row>
    <row r="329" ht="16" customHeight="1">
      <c r="A329" s="38" t="n"/>
      <c r="B329" s="38" t="n"/>
      <c r="C329" s="39" t="n"/>
      <c r="D329" s="53">
        <f>IF(B329="","",IFERROR(INDEX('食材の単価'!$D$5:$D$204,MATCH(B329,'食材の単価'!$A$5:$A$204,0))&amp;"",""))</f>
        <v/>
      </c>
      <c r="E329" s="80">
        <f>IF(B329="","",IFERROR(INDEX('食材の単価'!$G$5:$G$204,MATCH(B329,'食材の単価'!$A$5:$A$204,0)),""))</f>
        <v/>
      </c>
      <c r="F329" s="78">
        <f>IF(AND(ISNUMBER(C329),ISNUMBER(E329)),C329*E329,"")</f>
        <v/>
      </c>
      <c r="G329" s="33" t="n"/>
      <c r="H329" s="34">
        <f>IF(COUNTA(A329:C329,G329)=0,"",IF(TRIM(A329)="","メニュー名がありません",IF(ISNA(MATCH(A329,'メニュー原価率'!$A$8:$A$107,0)),"メニュー原価率に無いメニューです",IF(TRIM(B329)="","食材名がありません",IF(ISNA(MATCH(B329,'食材の単価'!$A$5:$A$204,0)),"食材の単価に無い食材です",IF(NOT(ISNUMBER(C329)),"使用量がありません",IF(NOT(ISNUMBER(E329)),"食材の単価が出ていません（仕入価格・仕入量）","")))))))</f>
        <v/>
      </c>
    </row>
    <row r="330" ht="16" customHeight="1">
      <c r="A330" s="38" t="n"/>
      <c r="B330" s="38" t="n"/>
      <c r="C330" s="39" t="n"/>
      <c r="D330" s="53">
        <f>IF(B330="","",IFERROR(INDEX('食材の単価'!$D$5:$D$204,MATCH(B330,'食材の単価'!$A$5:$A$204,0))&amp;"",""))</f>
        <v/>
      </c>
      <c r="E330" s="80">
        <f>IF(B330="","",IFERROR(INDEX('食材の単価'!$G$5:$G$204,MATCH(B330,'食材の単価'!$A$5:$A$204,0)),""))</f>
        <v/>
      </c>
      <c r="F330" s="78">
        <f>IF(AND(ISNUMBER(C330),ISNUMBER(E330)),C330*E330,"")</f>
        <v/>
      </c>
      <c r="G330" s="33" t="n"/>
      <c r="H330" s="34">
        <f>IF(COUNTA(A330:C330,G330)=0,"",IF(TRIM(A330)="","メニュー名がありません",IF(ISNA(MATCH(A330,'メニュー原価率'!$A$8:$A$107,0)),"メニュー原価率に無いメニューです",IF(TRIM(B330)="","食材名がありません",IF(ISNA(MATCH(B330,'食材の単価'!$A$5:$A$204,0)),"食材の単価に無い食材です",IF(NOT(ISNUMBER(C330)),"使用量がありません",IF(NOT(ISNUMBER(E330)),"食材の単価が出ていません（仕入価格・仕入量）","")))))))</f>
        <v/>
      </c>
    </row>
    <row r="331" ht="16" customHeight="1">
      <c r="A331" s="38" t="n"/>
      <c r="B331" s="38" t="n"/>
      <c r="C331" s="39" t="n"/>
      <c r="D331" s="53">
        <f>IF(B331="","",IFERROR(INDEX('食材の単価'!$D$5:$D$204,MATCH(B331,'食材の単価'!$A$5:$A$204,0))&amp;"",""))</f>
        <v/>
      </c>
      <c r="E331" s="80">
        <f>IF(B331="","",IFERROR(INDEX('食材の単価'!$G$5:$G$204,MATCH(B331,'食材の単価'!$A$5:$A$204,0)),""))</f>
        <v/>
      </c>
      <c r="F331" s="78">
        <f>IF(AND(ISNUMBER(C331),ISNUMBER(E331)),C331*E331,"")</f>
        <v/>
      </c>
      <c r="G331" s="33" t="n"/>
      <c r="H331" s="34">
        <f>IF(COUNTA(A331:C331,G331)=0,"",IF(TRIM(A331)="","メニュー名がありません",IF(ISNA(MATCH(A331,'メニュー原価率'!$A$8:$A$107,0)),"メニュー原価率に無いメニューです",IF(TRIM(B331)="","食材名がありません",IF(ISNA(MATCH(B331,'食材の単価'!$A$5:$A$204,0)),"食材の単価に無い食材です",IF(NOT(ISNUMBER(C331)),"使用量がありません",IF(NOT(ISNUMBER(E331)),"食材の単価が出ていません（仕入価格・仕入量）","")))))))</f>
        <v/>
      </c>
    </row>
    <row r="332" ht="16" customHeight="1">
      <c r="A332" s="38" t="n"/>
      <c r="B332" s="38" t="n"/>
      <c r="C332" s="39" t="n"/>
      <c r="D332" s="53">
        <f>IF(B332="","",IFERROR(INDEX('食材の単価'!$D$5:$D$204,MATCH(B332,'食材の単価'!$A$5:$A$204,0))&amp;"",""))</f>
        <v/>
      </c>
      <c r="E332" s="80">
        <f>IF(B332="","",IFERROR(INDEX('食材の単価'!$G$5:$G$204,MATCH(B332,'食材の単価'!$A$5:$A$204,0)),""))</f>
        <v/>
      </c>
      <c r="F332" s="78">
        <f>IF(AND(ISNUMBER(C332),ISNUMBER(E332)),C332*E332,"")</f>
        <v/>
      </c>
      <c r="G332" s="33" t="n"/>
      <c r="H332" s="34">
        <f>IF(COUNTA(A332:C332,G332)=0,"",IF(TRIM(A332)="","メニュー名がありません",IF(ISNA(MATCH(A332,'メニュー原価率'!$A$8:$A$107,0)),"メニュー原価率に無いメニューです",IF(TRIM(B332)="","食材名がありません",IF(ISNA(MATCH(B332,'食材の単価'!$A$5:$A$204,0)),"食材の単価に無い食材です",IF(NOT(ISNUMBER(C332)),"使用量がありません",IF(NOT(ISNUMBER(E332)),"食材の単価が出ていません（仕入価格・仕入量）","")))))))</f>
        <v/>
      </c>
    </row>
    <row r="333" ht="16" customHeight="1">
      <c r="A333" s="38" t="n"/>
      <c r="B333" s="38" t="n"/>
      <c r="C333" s="39" t="n"/>
      <c r="D333" s="53">
        <f>IF(B333="","",IFERROR(INDEX('食材の単価'!$D$5:$D$204,MATCH(B333,'食材の単価'!$A$5:$A$204,0))&amp;"",""))</f>
        <v/>
      </c>
      <c r="E333" s="80">
        <f>IF(B333="","",IFERROR(INDEX('食材の単価'!$G$5:$G$204,MATCH(B333,'食材の単価'!$A$5:$A$204,0)),""))</f>
        <v/>
      </c>
      <c r="F333" s="78">
        <f>IF(AND(ISNUMBER(C333),ISNUMBER(E333)),C333*E333,"")</f>
        <v/>
      </c>
      <c r="G333" s="33" t="n"/>
      <c r="H333" s="34">
        <f>IF(COUNTA(A333:C333,G333)=0,"",IF(TRIM(A333)="","メニュー名がありません",IF(ISNA(MATCH(A333,'メニュー原価率'!$A$8:$A$107,0)),"メニュー原価率に無いメニューです",IF(TRIM(B333)="","食材名がありません",IF(ISNA(MATCH(B333,'食材の単価'!$A$5:$A$204,0)),"食材の単価に無い食材です",IF(NOT(ISNUMBER(C333)),"使用量がありません",IF(NOT(ISNUMBER(E333)),"食材の単価が出ていません（仕入価格・仕入量）","")))))))</f>
        <v/>
      </c>
    </row>
    <row r="334" ht="16" customHeight="1">
      <c r="A334" s="38" t="n"/>
      <c r="B334" s="38" t="n"/>
      <c r="C334" s="39" t="n"/>
      <c r="D334" s="53">
        <f>IF(B334="","",IFERROR(INDEX('食材の単価'!$D$5:$D$204,MATCH(B334,'食材の単価'!$A$5:$A$204,0))&amp;"",""))</f>
        <v/>
      </c>
      <c r="E334" s="80">
        <f>IF(B334="","",IFERROR(INDEX('食材の単価'!$G$5:$G$204,MATCH(B334,'食材の単価'!$A$5:$A$204,0)),""))</f>
        <v/>
      </c>
      <c r="F334" s="78">
        <f>IF(AND(ISNUMBER(C334),ISNUMBER(E334)),C334*E334,"")</f>
        <v/>
      </c>
      <c r="G334" s="33" t="n"/>
      <c r="H334" s="34">
        <f>IF(COUNTA(A334:C334,G334)=0,"",IF(TRIM(A334)="","メニュー名がありません",IF(ISNA(MATCH(A334,'メニュー原価率'!$A$8:$A$107,0)),"メニュー原価率に無いメニューです",IF(TRIM(B334)="","食材名がありません",IF(ISNA(MATCH(B334,'食材の単価'!$A$5:$A$204,0)),"食材の単価に無い食材です",IF(NOT(ISNUMBER(C334)),"使用量がありません",IF(NOT(ISNUMBER(E334)),"食材の単価が出ていません（仕入価格・仕入量）","")))))))</f>
        <v/>
      </c>
    </row>
    <row r="335" ht="16" customHeight="1">
      <c r="A335" s="38" t="n"/>
      <c r="B335" s="38" t="n"/>
      <c r="C335" s="39" t="n"/>
      <c r="D335" s="53">
        <f>IF(B335="","",IFERROR(INDEX('食材の単価'!$D$5:$D$204,MATCH(B335,'食材の単価'!$A$5:$A$204,0))&amp;"",""))</f>
        <v/>
      </c>
      <c r="E335" s="80">
        <f>IF(B335="","",IFERROR(INDEX('食材の単価'!$G$5:$G$204,MATCH(B335,'食材の単価'!$A$5:$A$204,0)),""))</f>
        <v/>
      </c>
      <c r="F335" s="78">
        <f>IF(AND(ISNUMBER(C335),ISNUMBER(E335)),C335*E335,"")</f>
        <v/>
      </c>
      <c r="G335" s="33" t="n"/>
      <c r="H335" s="34">
        <f>IF(COUNTA(A335:C335,G335)=0,"",IF(TRIM(A335)="","メニュー名がありません",IF(ISNA(MATCH(A335,'メニュー原価率'!$A$8:$A$107,0)),"メニュー原価率に無いメニューです",IF(TRIM(B335)="","食材名がありません",IF(ISNA(MATCH(B335,'食材の単価'!$A$5:$A$204,0)),"食材の単価に無い食材です",IF(NOT(ISNUMBER(C335)),"使用量がありません",IF(NOT(ISNUMBER(E335)),"食材の単価が出ていません（仕入価格・仕入量）","")))))))</f>
        <v/>
      </c>
    </row>
    <row r="336" ht="16" customHeight="1">
      <c r="A336" s="38" t="n"/>
      <c r="B336" s="38" t="n"/>
      <c r="C336" s="39" t="n"/>
      <c r="D336" s="53">
        <f>IF(B336="","",IFERROR(INDEX('食材の単価'!$D$5:$D$204,MATCH(B336,'食材の単価'!$A$5:$A$204,0))&amp;"",""))</f>
        <v/>
      </c>
      <c r="E336" s="80">
        <f>IF(B336="","",IFERROR(INDEX('食材の単価'!$G$5:$G$204,MATCH(B336,'食材の単価'!$A$5:$A$204,0)),""))</f>
        <v/>
      </c>
      <c r="F336" s="78">
        <f>IF(AND(ISNUMBER(C336),ISNUMBER(E336)),C336*E336,"")</f>
        <v/>
      </c>
      <c r="G336" s="33" t="n"/>
      <c r="H336" s="34">
        <f>IF(COUNTA(A336:C336,G336)=0,"",IF(TRIM(A336)="","メニュー名がありません",IF(ISNA(MATCH(A336,'メニュー原価率'!$A$8:$A$107,0)),"メニュー原価率に無いメニューです",IF(TRIM(B336)="","食材名がありません",IF(ISNA(MATCH(B336,'食材の単価'!$A$5:$A$204,0)),"食材の単価に無い食材です",IF(NOT(ISNUMBER(C336)),"使用量がありません",IF(NOT(ISNUMBER(E336)),"食材の単価が出ていません（仕入価格・仕入量）","")))))))</f>
        <v/>
      </c>
    </row>
    <row r="337" ht="16" customHeight="1">
      <c r="A337" s="38" t="n"/>
      <c r="B337" s="38" t="n"/>
      <c r="C337" s="39" t="n"/>
      <c r="D337" s="53">
        <f>IF(B337="","",IFERROR(INDEX('食材の単価'!$D$5:$D$204,MATCH(B337,'食材の単価'!$A$5:$A$204,0))&amp;"",""))</f>
        <v/>
      </c>
      <c r="E337" s="80">
        <f>IF(B337="","",IFERROR(INDEX('食材の単価'!$G$5:$G$204,MATCH(B337,'食材の単価'!$A$5:$A$204,0)),""))</f>
        <v/>
      </c>
      <c r="F337" s="78">
        <f>IF(AND(ISNUMBER(C337),ISNUMBER(E337)),C337*E337,"")</f>
        <v/>
      </c>
      <c r="G337" s="33" t="n"/>
      <c r="H337" s="34">
        <f>IF(COUNTA(A337:C337,G337)=0,"",IF(TRIM(A337)="","メニュー名がありません",IF(ISNA(MATCH(A337,'メニュー原価率'!$A$8:$A$107,0)),"メニュー原価率に無いメニューです",IF(TRIM(B337)="","食材名がありません",IF(ISNA(MATCH(B337,'食材の単価'!$A$5:$A$204,0)),"食材の単価に無い食材です",IF(NOT(ISNUMBER(C337)),"使用量がありません",IF(NOT(ISNUMBER(E337)),"食材の単価が出ていません（仕入価格・仕入量）","")))))))</f>
        <v/>
      </c>
    </row>
    <row r="338" ht="16" customHeight="1">
      <c r="A338" s="38" t="n"/>
      <c r="B338" s="38" t="n"/>
      <c r="C338" s="39" t="n"/>
      <c r="D338" s="53">
        <f>IF(B338="","",IFERROR(INDEX('食材の単価'!$D$5:$D$204,MATCH(B338,'食材の単価'!$A$5:$A$204,0))&amp;"",""))</f>
        <v/>
      </c>
      <c r="E338" s="80">
        <f>IF(B338="","",IFERROR(INDEX('食材の単価'!$G$5:$G$204,MATCH(B338,'食材の単価'!$A$5:$A$204,0)),""))</f>
        <v/>
      </c>
      <c r="F338" s="78">
        <f>IF(AND(ISNUMBER(C338),ISNUMBER(E338)),C338*E338,"")</f>
        <v/>
      </c>
      <c r="G338" s="33" t="n"/>
      <c r="H338" s="34">
        <f>IF(COUNTA(A338:C338,G338)=0,"",IF(TRIM(A338)="","メニュー名がありません",IF(ISNA(MATCH(A338,'メニュー原価率'!$A$8:$A$107,0)),"メニュー原価率に無いメニューです",IF(TRIM(B338)="","食材名がありません",IF(ISNA(MATCH(B338,'食材の単価'!$A$5:$A$204,0)),"食材の単価に無い食材です",IF(NOT(ISNUMBER(C338)),"使用量がありません",IF(NOT(ISNUMBER(E338)),"食材の単価が出ていません（仕入価格・仕入量）","")))))))</f>
        <v/>
      </c>
    </row>
    <row r="339" ht="16" customHeight="1">
      <c r="A339" s="38" t="n"/>
      <c r="B339" s="38" t="n"/>
      <c r="C339" s="39" t="n"/>
      <c r="D339" s="53">
        <f>IF(B339="","",IFERROR(INDEX('食材の単価'!$D$5:$D$204,MATCH(B339,'食材の単価'!$A$5:$A$204,0))&amp;"",""))</f>
        <v/>
      </c>
      <c r="E339" s="80">
        <f>IF(B339="","",IFERROR(INDEX('食材の単価'!$G$5:$G$204,MATCH(B339,'食材の単価'!$A$5:$A$204,0)),""))</f>
        <v/>
      </c>
      <c r="F339" s="78">
        <f>IF(AND(ISNUMBER(C339),ISNUMBER(E339)),C339*E339,"")</f>
        <v/>
      </c>
      <c r="G339" s="33" t="n"/>
      <c r="H339" s="34">
        <f>IF(COUNTA(A339:C339,G339)=0,"",IF(TRIM(A339)="","メニュー名がありません",IF(ISNA(MATCH(A339,'メニュー原価率'!$A$8:$A$107,0)),"メニュー原価率に無いメニューです",IF(TRIM(B339)="","食材名がありません",IF(ISNA(MATCH(B339,'食材の単価'!$A$5:$A$204,0)),"食材の単価に無い食材です",IF(NOT(ISNUMBER(C339)),"使用量がありません",IF(NOT(ISNUMBER(E339)),"食材の単価が出ていません（仕入価格・仕入量）","")))))))</f>
        <v/>
      </c>
    </row>
    <row r="340" ht="16" customHeight="1">
      <c r="A340" s="38" t="n"/>
      <c r="B340" s="38" t="n"/>
      <c r="C340" s="39" t="n"/>
      <c r="D340" s="53">
        <f>IF(B340="","",IFERROR(INDEX('食材の単価'!$D$5:$D$204,MATCH(B340,'食材の単価'!$A$5:$A$204,0))&amp;"",""))</f>
        <v/>
      </c>
      <c r="E340" s="80">
        <f>IF(B340="","",IFERROR(INDEX('食材の単価'!$G$5:$G$204,MATCH(B340,'食材の単価'!$A$5:$A$204,0)),""))</f>
        <v/>
      </c>
      <c r="F340" s="78">
        <f>IF(AND(ISNUMBER(C340),ISNUMBER(E340)),C340*E340,"")</f>
        <v/>
      </c>
      <c r="G340" s="33" t="n"/>
      <c r="H340" s="34">
        <f>IF(COUNTA(A340:C340,G340)=0,"",IF(TRIM(A340)="","メニュー名がありません",IF(ISNA(MATCH(A340,'メニュー原価率'!$A$8:$A$107,0)),"メニュー原価率に無いメニューです",IF(TRIM(B340)="","食材名がありません",IF(ISNA(MATCH(B340,'食材の単価'!$A$5:$A$204,0)),"食材の単価に無い食材です",IF(NOT(ISNUMBER(C340)),"使用量がありません",IF(NOT(ISNUMBER(E340)),"食材の単価が出ていません（仕入価格・仕入量）","")))))))</f>
        <v/>
      </c>
    </row>
    <row r="341" ht="16" customHeight="1">
      <c r="A341" s="38" t="n"/>
      <c r="B341" s="38" t="n"/>
      <c r="C341" s="39" t="n"/>
      <c r="D341" s="53">
        <f>IF(B341="","",IFERROR(INDEX('食材の単価'!$D$5:$D$204,MATCH(B341,'食材の単価'!$A$5:$A$204,0))&amp;"",""))</f>
        <v/>
      </c>
      <c r="E341" s="80">
        <f>IF(B341="","",IFERROR(INDEX('食材の単価'!$G$5:$G$204,MATCH(B341,'食材の単価'!$A$5:$A$204,0)),""))</f>
        <v/>
      </c>
      <c r="F341" s="78">
        <f>IF(AND(ISNUMBER(C341),ISNUMBER(E341)),C341*E341,"")</f>
        <v/>
      </c>
      <c r="G341" s="33" t="n"/>
      <c r="H341" s="34">
        <f>IF(COUNTA(A341:C341,G341)=0,"",IF(TRIM(A341)="","メニュー名がありません",IF(ISNA(MATCH(A341,'メニュー原価率'!$A$8:$A$107,0)),"メニュー原価率に無いメニューです",IF(TRIM(B341)="","食材名がありません",IF(ISNA(MATCH(B341,'食材の単価'!$A$5:$A$204,0)),"食材の単価に無い食材です",IF(NOT(ISNUMBER(C341)),"使用量がありません",IF(NOT(ISNUMBER(E341)),"食材の単価が出ていません（仕入価格・仕入量）","")))))))</f>
        <v/>
      </c>
    </row>
    <row r="342" ht="16" customHeight="1">
      <c r="A342" s="38" t="n"/>
      <c r="B342" s="38" t="n"/>
      <c r="C342" s="39" t="n"/>
      <c r="D342" s="53">
        <f>IF(B342="","",IFERROR(INDEX('食材の単価'!$D$5:$D$204,MATCH(B342,'食材の単価'!$A$5:$A$204,0))&amp;"",""))</f>
        <v/>
      </c>
      <c r="E342" s="80">
        <f>IF(B342="","",IFERROR(INDEX('食材の単価'!$G$5:$G$204,MATCH(B342,'食材の単価'!$A$5:$A$204,0)),""))</f>
        <v/>
      </c>
      <c r="F342" s="78">
        <f>IF(AND(ISNUMBER(C342),ISNUMBER(E342)),C342*E342,"")</f>
        <v/>
      </c>
      <c r="G342" s="33" t="n"/>
      <c r="H342" s="34">
        <f>IF(COUNTA(A342:C342,G342)=0,"",IF(TRIM(A342)="","メニュー名がありません",IF(ISNA(MATCH(A342,'メニュー原価率'!$A$8:$A$107,0)),"メニュー原価率に無いメニューです",IF(TRIM(B342)="","食材名がありません",IF(ISNA(MATCH(B342,'食材の単価'!$A$5:$A$204,0)),"食材の単価に無い食材です",IF(NOT(ISNUMBER(C342)),"使用量がありません",IF(NOT(ISNUMBER(E342)),"食材の単価が出ていません（仕入価格・仕入量）","")))))))</f>
        <v/>
      </c>
    </row>
    <row r="343" ht="16" customHeight="1">
      <c r="A343" s="38" t="n"/>
      <c r="B343" s="38" t="n"/>
      <c r="C343" s="39" t="n"/>
      <c r="D343" s="53">
        <f>IF(B343="","",IFERROR(INDEX('食材の単価'!$D$5:$D$204,MATCH(B343,'食材の単価'!$A$5:$A$204,0))&amp;"",""))</f>
        <v/>
      </c>
      <c r="E343" s="80">
        <f>IF(B343="","",IFERROR(INDEX('食材の単価'!$G$5:$G$204,MATCH(B343,'食材の単価'!$A$5:$A$204,0)),""))</f>
        <v/>
      </c>
      <c r="F343" s="78">
        <f>IF(AND(ISNUMBER(C343),ISNUMBER(E343)),C343*E343,"")</f>
        <v/>
      </c>
      <c r="G343" s="33" t="n"/>
      <c r="H343" s="34">
        <f>IF(COUNTA(A343:C343,G343)=0,"",IF(TRIM(A343)="","メニュー名がありません",IF(ISNA(MATCH(A343,'メニュー原価率'!$A$8:$A$107,0)),"メニュー原価率に無いメニューです",IF(TRIM(B343)="","食材名がありません",IF(ISNA(MATCH(B343,'食材の単価'!$A$5:$A$204,0)),"食材の単価に無い食材です",IF(NOT(ISNUMBER(C343)),"使用量がありません",IF(NOT(ISNUMBER(E343)),"食材の単価が出ていません（仕入価格・仕入量）","")))))))</f>
        <v/>
      </c>
    </row>
    <row r="344" ht="16" customHeight="1">
      <c r="A344" s="38" t="n"/>
      <c r="B344" s="38" t="n"/>
      <c r="C344" s="39" t="n"/>
      <c r="D344" s="53">
        <f>IF(B344="","",IFERROR(INDEX('食材の単価'!$D$5:$D$204,MATCH(B344,'食材の単価'!$A$5:$A$204,0))&amp;"",""))</f>
        <v/>
      </c>
      <c r="E344" s="80">
        <f>IF(B344="","",IFERROR(INDEX('食材の単価'!$G$5:$G$204,MATCH(B344,'食材の単価'!$A$5:$A$204,0)),""))</f>
        <v/>
      </c>
      <c r="F344" s="78">
        <f>IF(AND(ISNUMBER(C344),ISNUMBER(E344)),C344*E344,"")</f>
        <v/>
      </c>
      <c r="G344" s="33" t="n"/>
      <c r="H344" s="34">
        <f>IF(COUNTA(A344:C344,G344)=0,"",IF(TRIM(A344)="","メニュー名がありません",IF(ISNA(MATCH(A344,'メニュー原価率'!$A$8:$A$107,0)),"メニュー原価率に無いメニューです",IF(TRIM(B344)="","食材名がありません",IF(ISNA(MATCH(B344,'食材の単価'!$A$5:$A$204,0)),"食材の単価に無い食材です",IF(NOT(ISNUMBER(C344)),"使用量がありません",IF(NOT(ISNUMBER(E344)),"食材の単価が出ていません（仕入価格・仕入量）","")))))))</f>
        <v/>
      </c>
    </row>
    <row r="345" ht="16" customHeight="1">
      <c r="A345" s="38" t="n"/>
      <c r="B345" s="38" t="n"/>
      <c r="C345" s="39" t="n"/>
      <c r="D345" s="53">
        <f>IF(B345="","",IFERROR(INDEX('食材の単価'!$D$5:$D$204,MATCH(B345,'食材の単価'!$A$5:$A$204,0))&amp;"",""))</f>
        <v/>
      </c>
      <c r="E345" s="80">
        <f>IF(B345="","",IFERROR(INDEX('食材の単価'!$G$5:$G$204,MATCH(B345,'食材の単価'!$A$5:$A$204,0)),""))</f>
        <v/>
      </c>
      <c r="F345" s="78">
        <f>IF(AND(ISNUMBER(C345),ISNUMBER(E345)),C345*E345,"")</f>
        <v/>
      </c>
      <c r="G345" s="33" t="n"/>
      <c r="H345" s="34">
        <f>IF(COUNTA(A345:C345,G345)=0,"",IF(TRIM(A345)="","メニュー名がありません",IF(ISNA(MATCH(A345,'メニュー原価率'!$A$8:$A$107,0)),"メニュー原価率に無いメニューです",IF(TRIM(B345)="","食材名がありません",IF(ISNA(MATCH(B345,'食材の単価'!$A$5:$A$204,0)),"食材の単価に無い食材です",IF(NOT(ISNUMBER(C345)),"使用量がありません",IF(NOT(ISNUMBER(E345)),"食材の単価が出ていません（仕入価格・仕入量）","")))))))</f>
        <v/>
      </c>
    </row>
    <row r="346" ht="16" customHeight="1">
      <c r="A346" s="38" t="n"/>
      <c r="B346" s="38" t="n"/>
      <c r="C346" s="39" t="n"/>
      <c r="D346" s="53">
        <f>IF(B346="","",IFERROR(INDEX('食材の単価'!$D$5:$D$204,MATCH(B346,'食材の単価'!$A$5:$A$204,0))&amp;"",""))</f>
        <v/>
      </c>
      <c r="E346" s="80">
        <f>IF(B346="","",IFERROR(INDEX('食材の単価'!$G$5:$G$204,MATCH(B346,'食材の単価'!$A$5:$A$204,0)),""))</f>
        <v/>
      </c>
      <c r="F346" s="78">
        <f>IF(AND(ISNUMBER(C346),ISNUMBER(E346)),C346*E346,"")</f>
        <v/>
      </c>
      <c r="G346" s="33" t="n"/>
      <c r="H346" s="34">
        <f>IF(COUNTA(A346:C346,G346)=0,"",IF(TRIM(A346)="","メニュー名がありません",IF(ISNA(MATCH(A346,'メニュー原価率'!$A$8:$A$107,0)),"メニュー原価率に無いメニューです",IF(TRIM(B346)="","食材名がありません",IF(ISNA(MATCH(B346,'食材の単価'!$A$5:$A$204,0)),"食材の単価に無い食材です",IF(NOT(ISNUMBER(C346)),"使用量がありません",IF(NOT(ISNUMBER(E346)),"食材の単価が出ていません（仕入価格・仕入量）","")))))))</f>
        <v/>
      </c>
    </row>
    <row r="347" ht="16" customHeight="1">
      <c r="A347" s="38" t="n"/>
      <c r="B347" s="38" t="n"/>
      <c r="C347" s="39" t="n"/>
      <c r="D347" s="53">
        <f>IF(B347="","",IFERROR(INDEX('食材の単価'!$D$5:$D$204,MATCH(B347,'食材の単価'!$A$5:$A$204,0))&amp;"",""))</f>
        <v/>
      </c>
      <c r="E347" s="80">
        <f>IF(B347="","",IFERROR(INDEX('食材の単価'!$G$5:$G$204,MATCH(B347,'食材の単価'!$A$5:$A$204,0)),""))</f>
        <v/>
      </c>
      <c r="F347" s="78">
        <f>IF(AND(ISNUMBER(C347),ISNUMBER(E347)),C347*E347,"")</f>
        <v/>
      </c>
      <c r="G347" s="33" t="n"/>
      <c r="H347" s="34">
        <f>IF(COUNTA(A347:C347,G347)=0,"",IF(TRIM(A347)="","メニュー名がありません",IF(ISNA(MATCH(A347,'メニュー原価率'!$A$8:$A$107,0)),"メニュー原価率に無いメニューです",IF(TRIM(B347)="","食材名がありません",IF(ISNA(MATCH(B347,'食材の単価'!$A$5:$A$204,0)),"食材の単価に無い食材です",IF(NOT(ISNUMBER(C347)),"使用量がありません",IF(NOT(ISNUMBER(E347)),"食材の単価が出ていません（仕入価格・仕入量）","")))))))</f>
        <v/>
      </c>
    </row>
    <row r="348" ht="16" customHeight="1">
      <c r="A348" s="38" t="n"/>
      <c r="B348" s="38" t="n"/>
      <c r="C348" s="39" t="n"/>
      <c r="D348" s="53">
        <f>IF(B348="","",IFERROR(INDEX('食材の単価'!$D$5:$D$204,MATCH(B348,'食材の単価'!$A$5:$A$204,0))&amp;"",""))</f>
        <v/>
      </c>
      <c r="E348" s="80">
        <f>IF(B348="","",IFERROR(INDEX('食材の単価'!$G$5:$G$204,MATCH(B348,'食材の単価'!$A$5:$A$204,0)),""))</f>
        <v/>
      </c>
      <c r="F348" s="78">
        <f>IF(AND(ISNUMBER(C348),ISNUMBER(E348)),C348*E348,"")</f>
        <v/>
      </c>
      <c r="G348" s="33" t="n"/>
      <c r="H348" s="34">
        <f>IF(COUNTA(A348:C348,G348)=0,"",IF(TRIM(A348)="","メニュー名がありません",IF(ISNA(MATCH(A348,'メニュー原価率'!$A$8:$A$107,0)),"メニュー原価率に無いメニューです",IF(TRIM(B348)="","食材名がありません",IF(ISNA(MATCH(B348,'食材の単価'!$A$5:$A$204,0)),"食材の単価に無い食材です",IF(NOT(ISNUMBER(C348)),"使用量がありません",IF(NOT(ISNUMBER(E348)),"食材の単価が出ていません（仕入価格・仕入量）","")))))))</f>
        <v/>
      </c>
    </row>
    <row r="349" ht="16" customHeight="1">
      <c r="A349" s="38" t="n"/>
      <c r="B349" s="38" t="n"/>
      <c r="C349" s="39" t="n"/>
      <c r="D349" s="53">
        <f>IF(B349="","",IFERROR(INDEX('食材の単価'!$D$5:$D$204,MATCH(B349,'食材の単価'!$A$5:$A$204,0))&amp;"",""))</f>
        <v/>
      </c>
      <c r="E349" s="80">
        <f>IF(B349="","",IFERROR(INDEX('食材の単価'!$G$5:$G$204,MATCH(B349,'食材の単価'!$A$5:$A$204,0)),""))</f>
        <v/>
      </c>
      <c r="F349" s="78">
        <f>IF(AND(ISNUMBER(C349),ISNUMBER(E349)),C349*E349,"")</f>
        <v/>
      </c>
      <c r="G349" s="33" t="n"/>
      <c r="H349" s="34">
        <f>IF(COUNTA(A349:C349,G349)=0,"",IF(TRIM(A349)="","メニュー名がありません",IF(ISNA(MATCH(A349,'メニュー原価率'!$A$8:$A$107,0)),"メニュー原価率に無いメニューです",IF(TRIM(B349)="","食材名がありません",IF(ISNA(MATCH(B349,'食材の単価'!$A$5:$A$204,0)),"食材の単価に無い食材です",IF(NOT(ISNUMBER(C349)),"使用量がありません",IF(NOT(ISNUMBER(E349)),"食材の単価が出ていません（仕入価格・仕入量）","")))))))</f>
        <v/>
      </c>
    </row>
    <row r="350" ht="16" customHeight="1">
      <c r="A350" s="38" t="n"/>
      <c r="B350" s="38" t="n"/>
      <c r="C350" s="39" t="n"/>
      <c r="D350" s="53">
        <f>IF(B350="","",IFERROR(INDEX('食材の単価'!$D$5:$D$204,MATCH(B350,'食材の単価'!$A$5:$A$204,0))&amp;"",""))</f>
        <v/>
      </c>
      <c r="E350" s="80">
        <f>IF(B350="","",IFERROR(INDEX('食材の単価'!$G$5:$G$204,MATCH(B350,'食材の単価'!$A$5:$A$204,0)),""))</f>
        <v/>
      </c>
      <c r="F350" s="78">
        <f>IF(AND(ISNUMBER(C350),ISNUMBER(E350)),C350*E350,"")</f>
        <v/>
      </c>
      <c r="G350" s="33" t="n"/>
      <c r="H350" s="34">
        <f>IF(COUNTA(A350:C350,G350)=0,"",IF(TRIM(A350)="","メニュー名がありません",IF(ISNA(MATCH(A350,'メニュー原価率'!$A$8:$A$107,0)),"メニュー原価率に無いメニューです",IF(TRIM(B350)="","食材名がありません",IF(ISNA(MATCH(B350,'食材の単価'!$A$5:$A$204,0)),"食材の単価に無い食材です",IF(NOT(ISNUMBER(C350)),"使用量がありません",IF(NOT(ISNUMBER(E350)),"食材の単価が出ていません（仕入価格・仕入量）","")))))))</f>
        <v/>
      </c>
    </row>
    <row r="351" ht="16" customHeight="1">
      <c r="A351" s="38" t="n"/>
      <c r="B351" s="38" t="n"/>
      <c r="C351" s="39" t="n"/>
      <c r="D351" s="53">
        <f>IF(B351="","",IFERROR(INDEX('食材の単価'!$D$5:$D$204,MATCH(B351,'食材の単価'!$A$5:$A$204,0))&amp;"",""))</f>
        <v/>
      </c>
      <c r="E351" s="80">
        <f>IF(B351="","",IFERROR(INDEX('食材の単価'!$G$5:$G$204,MATCH(B351,'食材の単価'!$A$5:$A$204,0)),""))</f>
        <v/>
      </c>
      <c r="F351" s="78">
        <f>IF(AND(ISNUMBER(C351),ISNUMBER(E351)),C351*E351,"")</f>
        <v/>
      </c>
      <c r="G351" s="33" t="n"/>
      <c r="H351" s="34">
        <f>IF(COUNTA(A351:C351,G351)=0,"",IF(TRIM(A351)="","メニュー名がありません",IF(ISNA(MATCH(A351,'メニュー原価率'!$A$8:$A$107,0)),"メニュー原価率に無いメニューです",IF(TRIM(B351)="","食材名がありません",IF(ISNA(MATCH(B351,'食材の単価'!$A$5:$A$204,0)),"食材の単価に無い食材です",IF(NOT(ISNUMBER(C351)),"使用量がありません",IF(NOT(ISNUMBER(E351)),"食材の単価が出ていません（仕入価格・仕入量）","")))))))</f>
        <v/>
      </c>
    </row>
    <row r="352" ht="16" customHeight="1">
      <c r="A352" s="38" t="n"/>
      <c r="B352" s="38" t="n"/>
      <c r="C352" s="39" t="n"/>
      <c r="D352" s="53">
        <f>IF(B352="","",IFERROR(INDEX('食材の単価'!$D$5:$D$204,MATCH(B352,'食材の単価'!$A$5:$A$204,0))&amp;"",""))</f>
        <v/>
      </c>
      <c r="E352" s="80">
        <f>IF(B352="","",IFERROR(INDEX('食材の単価'!$G$5:$G$204,MATCH(B352,'食材の単価'!$A$5:$A$204,0)),""))</f>
        <v/>
      </c>
      <c r="F352" s="78">
        <f>IF(AND(ISNUMBER(C352),ISNUMBER(E352)),C352*E352,"")</f>
        <v/>
      </c>
      <c r="G352" s="33" t="n"/>
      <c r="H352" s="34">
        <f>IF(COUNTA(A352:C352,G352)=0,"",IF(TRIM(A352)="","メニュー名がありません",IF(ISNA(MATCH(A352,'メニュー原価率'!$A$8:$A$107,0)),"メニュー原価率に無いメニューです",IF(TRIM(B352)="","食材名がありません",IF(ISNA(MATCH(B352,'食材の単価'!$A$5:$A$204,0)),"食材の単価に無い食材です",IF(NOT(ISNUMBER(C352)),"使用量がありません",IF(NOT(ISNUMBER(E352)),"食材の単価が出ていません（仕入価格・仕入量）","")))))))</f>
        <v/>
      </c>
    </row>
    <row r="353" ht="16" customHeight="1">
      <c r="A353" s="38" t="n"/>
      <c r="B353" s="38" t="n"/>
      <c r="C353" s="39" t="n"/>
      <c r="D353" s="53">
        <f>IF(B353="","",IFERROR(INDEX('食材の単価'!$D$5:$D$204,MATCH(B353,'食材の単価'!$A$5:$A$204,0))&amp;"",""))</f>
        <v/>
      </c>
      <c r="E353" s="80">
        <f>IF(B353="","",IFERROR(INDEX('食材の単価'!$G$5:$G$204,MATCH(B353,'食材の単価'!$A$5:$A$204,0)),""))</f>
        <v/>
      </c>
      <c r="F353" s="78">
        <f>IF(AND(ISNUMBER(C353),ISNUMBER(E353)),C353*E353,"")</f>
        <v/>
      </c>
      <c r="G353" s="33" t="n"/>
      <c r="H353" s="34">
        <f>IF(COUNTA(A353:C353,G353)=0,"",IF(TRIM(A353)="","メニュー名がありません",IF(ISNA(MATCH(A353,'メニュー原価率'!$A$8:$A$107,0)),"メニュー原価率に無いメニューです",IF(TRIM(B353)="","食材名がありません",IF(ISNA(MATCH(B353,'食材の単価'!$A$5:$A$204,0)),"食材の単価に無い食材です",IF(NOT(ISNUMBER(C353)),"使用量がありません",IF(NOT(ISNUMBER(E353)),"食材の単価が出ていません（仕入価格・仕入量）","")))))))</f>
        <v/>
      </c>
    </row>
    <row r="354" ht="16" customHeight="1">
      <c r="A354" s="38" t="n"/>
      <c r="B354" s="38" t="n"/>
      <c r="C354" s="39" t="n"/>
      <c r="D354" s="53">
        <f>IF(B354="","",IFERROR(INDEX('食材の単価'!$D$5:$D$204,MATCH(B354,'食材の単価'!$A$5:$A$204,0))&amp;"",""))</f>
        <v/>
      </c>
      <c r="E354" s="80">
        <f>IF(B354="","",IFERROR(INDEX('食材の単価'!$G$5:$G$204,MATCH(B354,'食材の単価'!$A$5:$A$204,0)),""))</f>
        <v/>
      </c>
      <c r="F354" s="78">
        <f>IF(AND(ISNUMBER(C354),ISNUMBER(E354)),C354*E354,"")</f>
        <v/>
      </c>
      <c r="G354" s="33" t="n"/>
      <c r="H354" s="34">
        <f>IF(COUNTA(A354:C354,G354)=0,"",IF(TRIM(A354)="","メニュー名がありません",IF(ISNA(MATCH(A354,'メニュー原価率'!$A$8:$A$107,0)),"メニュー原価率に無いメニューです",IF(TRIM(B354)="","食材名がありません",IF(ISNA(MATCH(B354,'食材の単価'!$A$5:$A$204,0)),"食材の単価に無い食材です",IF(NOT(ISNUMBER(C354)),"使用量がありません",IF(NOT(ISNUMBER(E354)),"食材の単価が出ていません（仕入価格・仕入量）","")))))))</f>
        <v/>
      </c>
    </row>
    <row r="355" ht="16" customHeight="1">
      <c r="A355" s="38" t="n"/>
      <c r="B355" s="38" t="n"/>
      <c r="C355" s="39" t="n"/>
      <c r="D355" s="53">
        <f>IF(B355="","",IFERROR(INDEX('食材の単価'!$D$5:$D$204,MATCH(B355,'食材の単価'!$A$5:$A$204,0))&amp;"",""))</f>
        <v/>
      </c>
      <c r="E355" s="80">
        <f>IF(B355="","",IFERROR(INDEX('食材の単価'!$G$5:$G$204,MATCH(B355,'食材の単価'!$A$5:$A$204,0)),""))</f>
        <v/>
      </c>
      <c r="F355" s="78">
        <f>IF(AND(ISNUMBER(C355),ISNUMBER(E355)),C355*E355,"")</f>
        <v/>
      </c>
      <c r="G355" s="33" t="n"/>
      <c r="H355" s="34">
        <f>IF(COUNTA(A355:C355,G355)=0,"",IF(TRIM(A355)="","メニュー名がありません",IF(ISNA(MATCH(A355,'メニュー原価率'!$A$8:$A$107,0)),"メニュー原価率に無いメニューです",IF(TRIM(B355)="","食材名がありません",IF(ISNA(MATCH(B355,'食材の単価'!$A$5:$A$204,0)),"食材の単価に無い食材です",IF(NOT(ISNUMBER(C355)),"使用量がありません",IF(NOT(ISNUMBER(E355)),"食材の単価が出ていません（仕入価格・仕入量）","")))))))</f>
        <v/>
      </c>
    </row>
    <row r="356" ht="16" customHeight="1">
      <c r="A356" s="38" t="n"/>
      <c r="B356" s="38" t="n"/>
      <c r="C356" s="39" t="n"/>
      <c r="D356" s="53">
        <f>IF(B356="","",IFERROR(INDEX('食材の単価'!$D$5:$D$204,MATCH(B356,'食材の単価'!$A$5:$A$204,0))&amp;"",""))</f>
        <v/>
      </c>
      <c r="E356" s="80">
        <f>IF(B356="","",IFERROR(INDEX('食材の単価'!$G$5:$G$204,MATCH(B356,'食材の単価'!$A$5:$A$204,0)),""))</f>
        <v/>
      </c>
      <c r="F356" s="78">
        <f>IF(AND(ISNUMBER(C356),ISNUMBER(E356)),C356*E356,"")</f>
        <v/>
      </c>
      <c r="G356" s="33" t="n"/>
      <c r="H356" s="34">
        <f>IF(COUNTA(A356:C356,G356)=0,"",IF(TRIM(A356)="","メニュー名がありません",IF(ISNA(MATCH(A356,'メニュー原価率'!$A$8:$A$107,0)),"メニュー原価率に無いメニューです",IF(TRIM(B356)="","食材名がありません",IF(ISNA(MATCH(B356,'食材の単価'!$A$5:$A$204,0)),"食材の単価に無い食材です",IF(NOT(ISNUMBER(C356)),"使用量がありません",IF(NOT(ISNUMBER(E356)),"食材の単価が出ていません（仕入価格・仕入量）","")))))))</f>
        <v/>
      </c>
    </row>
    <row r="357" ht="16" customHeight="1">
      <c r="A357" s="38" t="n"/>
      <c r="B357" s="38" t="n"/>
      <c r="C357" s="39" t="n"/>
      <c r="D357" s="53">
        <f>IF(B357="","",IFERROR(INDEX('食材の単価'!$D$5:$D$204,MATCH(B357,'食材の単価'!$A$5:$A$204,0))&amp;"",""))</f>
        <v/>
      </c>
      <c r="E357" s="80">
        <f>IF(B357="","",IFERROR(INDEX('食材の単価'!$G$5:$G$204,MATCH(B357,'食材の単価'!$A$5:$A$204,0)),""))</f>
        <v/>
      </c>
      <c r="F357" s="78">
        <f>IF(AND(ISNUMBER(C357),ISNUMBER(E357)),C357*E357,"")</f>
        <v/>
      </c>
      <c r="G357" s="33" t="n"/>
      <c r="H357" s="34">
        <f>IF(COUNTA(A357:C357,G357)=0,"",IF(TRIM(A357)="","メニュー名がありません",IF(ISNA(MATCH(A357,'メニュー原価率'!$A$8:$A$107,0)),"メニュー原価率に無いメニューです",IF(TRIM(B357)="","食材名がありません",IF(ISNA(MATCH(B357,'食材の単価'!$A$5:$A$204,0)),"食材の単価に無い食材です",IF(NOT(ISNUMBER(C357)),"使用量がありません",IF(NOT(ISNUMBER(E357)),"食材の単価が出ていません（仕入価格・仕入量）","")))))))</f>
        <v/>
      </c>
    </row>
    <row r="358" ht="16" customHeight="1">
      <c r="A358" s="38" t="n"/>
      <c r="B358" s="38" t="n"/>
      <c r="C358" s="39" t="n"/>
      <c r="D358" s="53">
        <f>IF(B358="","",IFERROR(INDEX('食材の単価'!$D$5:$D$204,MATCH(B358,'食材の単価'!$A$5:$A$204,0))&amp;"",""))</f>
        <v/>
      </c>
      <c r="E358" s="80">
        <f>IF(B358="","",IFERROR(INDEX('食材の単価'!$G$5:$G$204,MATCH(B358,'食材の単価'!$A$5:$A$204,0)),""))</f>
        <v/>
      </c>
      <c r="F358" s="78">
        <f>IF(AND(ISNUMBER(C358),ISNUMBER(E358)),C358*E358,"")</f>
        <v/>
      </c>
      <c r="G358" s="33" t="n"/>
      <c r="H358" s="34">
        <f>IF(COUNTA(A358:C358,G358)=0,"",IF(TRIM(A358)="","メニュー名がありません",IF(ISNA(MATCH(A358,'メニュー原価率'!$A$8:$A$107,0)),"メニュー原価率に無いメニューです",IF(TRIM(B358)="","食材名がありません",IF(ISNA(MATCH(B358,'食材の単価'!$A$5:$A$204,0)),"食材の単価に無い食材です",IF(NOT(ISNUMBER(C358)),"使用量がありません",IF(NOT(ISNUMBER(E358)),"食材の単価が出ていません（仕入価格・仕入量）","")))))))</f>
        <v/>
      </c>
    </row>
    <row r="359" ht="16" customHeight="1">
      <c r="A359" s="38" t="n"/>
      <c r="B359" s="38" t="n"/>
      <c r="C359" s="39" t="n"/>
      <c r="D359" s="53">
        <f>IF(B359="","",IFERROR(INDEX('食材の単価'!$D$5:$D$204,MATCH(B359,'食材の単価'!$A$5:$A$204,0))&amp;"",""))</f>
        <v/>
      </c>
      <c r="E359" s="80">
        <f>IF(B359="","",IFERROR(INDEX('食材の単価'!$G$5:$G$204,MATCH(B359,'食材の単価'!$A$5:$A$204,0)),""))</f>
        <v/>
      </c>
      <c r="F359" s="78">
        <f>IF(AND(ISNUMBER(C359),ISNUMBER(E359)),C359*E359,"")</f>
        <v/>
      </c>
      <c r="G359" s="33" t="n"/>
      <c r="H359" s="34">
        <f>IF(COUNTA(A359:C359,G359)=0,"",IF(TRIM(A359)="","メニュー名がありません",IF(ISNA(MATCH(A359,'メニュー原価率'!$A$8:$A$107,0)),"メニュー原価率に無いメニューです",IF(TRIM(B359)="","食材名がありません",IF(ISNA(MATCH(B359,'食材の単価'!$A$5:$A$204,0)),"食材の単価に無い食材です",IF(NOT(ISNUMBER(C359)),"使用量がありません",IF(NOT(ISNUMBER(E359)),"食材の単価が出ていません（仕入価格・仕入量）","")))))))</f>
        <v/>
      </c>
    </row>
    <row r="360" ht="16" customHeight="1">
      <c r="A360" s="38" t="n"/>
      <c r="B360" s="38" t="n"/>
      <c r="C360" s="39" t="n"/>
      <c r="D360" s="53">
        <f>IF(B360="","",IFERROR(INDEX('食材の単価'!$D$5:$D$204,MATCH(B360,'食材の単価'!$A$5:$A$204,0))&amp;"",""))</f>
        <v/>
      </c>
      <c r="E360" s="80">
        <f>IF(B360="","",IFERROR(INDEX('食材の単価'!$G$5:$G$204,MATCH(B360,'食材の単価'!$A$5:$A$204,0)),""))</f>
        <v/>
      </c>
      <c r="F360" s="78">
        <f>IF(AND(ISNUMBER(C360),ISNUMBER(E360)),C360*E360,"")</f>
        <v/>
      </c>
      <c r="G360" s="33" t="n"/>
      <c r="H360" s="34">
        <f>IF(COUNTA(A360:C360,G360)=0,"",IF(TRIM(A360)="","メニュー名がありません",IF(ISNA(MATCH(A360,'メニュー原価率'!$A$8:$A$107,0)),"メニュー原価率に無いメニューです",IF(TRIM(B360)="","食材名がありません",IF(ISNA(MATCH(B360,'食材の単価'!$A$5:$A$204,0)),"食材の単価に無い食材です",IF(NOT(ISNUMBER(C360)),"使用量がありません",IF(NOT(ISNUMBER(E360)),"食材の単価が出ていません（仕入価格・仕入量）","")))))))</f>
        <v/>
      </c>
    </row>
    <row r="361" ht="16" customHeight="1">
      <c r="A361" s="38" t="n"/>
      <c r="B361" s="38" t="n"/>
      <c r="C361" s="39" t="n"/>
      <c r="D361" s="53">
        <f>IF(B361="","",IFERROR(INDEX('食材の単価'!$D$5:$D$204,MATCH(B361,'食材の単価'!$A$5:$A$204,0))&amp;"",""))</f>
        <v/>
      </c>
      <c r="E361" s="80">
        <f>IF(B361="","",IFERROR(INDEX('食材の単価'!$G$5:$G$204,MATCH(B361,'食材の単価'!$A$5:$A$204,0)),""))</f>
        <v/>
      </c>
      <c r="F361" s="78">
        <f>IF(AND(ISNUMBER(C361),ISNUMBER(E361)),C361*E361,"")</f>
        <v/>
      </c>
      <c r="G361" s="33" t="n"/>
      <c r="H361" s="34">
        <f>IF(COUNTA(A361:C361,G361)=0,"",IF(TRIM(A361)="","メニュー名がありません",IF(ISNA(MATCH(A361,'メニュー原価率'!$A$8:$A$107,0)),"メニュー原価率に無いメニューです",IF(TRIM(B361)="","食材名がありません",IF(ISNA(MATCH(B361,'食材の単価'!$A$5:$A$204,0)),"食材の単価に無い食材です",IF(NOT(ISNUMBER(C361)),"使用量がありません",IF(NOT(ISNUMBER(E361)),"食材の単価が出ていません（仕入価格・仕入量）","")))))))</f>
        <v/>
      </c>
    </row>
    <row r="362" ht="16" customHeight="1">
      <c r="A362" s="38" t="n"/>
      <c r="B362" s="38" t="n"/>
      <c r="C362" s="39" t="n"/>
      <c r="D362" s="53">
        <f>IF(B362="","",IFERROR(INDEX('食材の単価'!$D$5:$D$204,MATCH(B362,'食材の単価'!$A$5:$A$204,0))&amp;"",""))</f>
        <v/>
      </c>
      <c r="E362" s="80">
        <f>IF(B362="","",IFERROR(INDEX('食材の単価'!$G$5:$G$204,MATCH(B362,'食材の単価'!$A$5:$A$204,0)),""))</f>
        <v/>
      </c>
      <c r="F362" s="78">
        <f>IF(AND(ISNUMBER(C362),ISNUMBER(E362)),C362*E362,"")</f>
        <v/>
      </c>
      <c r="G362" s="33" t="n"/>
      <c r="H362" s="34">
        <f>IF(COUNTA(A362:C362,G362)=0,"",IF(TRIM(A362)="","メニュー名がありません",IF(ISNA(MATCH(A362,'メニュー原価率'!$A$8:$A$107,0)),"メニュー原価率に無いメニューです",IF(TRIM(B362)="","食材名がありません",IF(ISNA(MATCH(B362,'食材の単価'!$A$5:$A$204,0)),"食材の単価に無い食材です",IF(NOT(ISNUMBER(C362)),"使用量がありません",IF(NOT(ISNUMBER(E362)),"食材の単価が出ていません（仕入価格・仕入量）","")))))))</f>
        <v/>
      </c>
    </row>
    <row r="363" ht="16" customHeight="1">
      <c r="A363" s="38" t="n"/>
      <c r="B363" s="38" t="n"/>
      <c r="C363" s="39" t="n"/>
      <c r="D363" s="53">
        <f>IF(B363="","",IFERROR(INDEX('食材の単価'!$D$5:$D$204,MATCH(B363,'食材の単価'!$A$5:$A$204,0))&amp;"",""))</f>
        <v/>
      </c>
      <c r="E363" s="80">
        <f>IF(B363="","",IFERROR(INDEX('食材の単価'!$G$5:$G$204,MATCH(B363,'食材の単価'!$A$5:$A$204,0)),""))</f>
        <v/>
      </c>
      <c r="F363" s="78">
        <f>IF(AND(ISNUMBER(C363),ISNUMBER(E363)),C363*E363,"")</f>
        <v/>
      </c>
      <c r="G363" s="33" t="n"/>
      <c r="H363" s="34">
        <f>IF(COUNTA(A363:C363,G363)=0,"",IF(TRIM(A363)="","メニュー名がありません",IF(ISNA(MATCH(A363,'メニュー原価率'!$A$8:$A$107,0)),"メニュー原価率に無いメニューです",IF(TRIM(B363)="","食材名がありません",IF(ISNA(MATCH(B363,'食材の単価'!$A$5:$A$204,0)),"食材の単価に無い食材です",IF(NOT(ISNUMBER(C363)),"使用量がありません",IF(NOT(ISNUMBER(E363)),"食材の単価が出ていません（仕入価格・仕入量）","")))))))</f>
        <v/>
      </c>
    </row>
    <row r="364" ht="16" customHeight="1">
      <c r="A364" s="38" t="n"/>
      <c r="B364" s="38" t="n"/>
      <c r="C364" s="39" t="n"/>
      <c r="D364" s="53">
        <f>IF(B364="","",IFERROR(INDEX('食材の単価'!$D$5:$D$204,MATCH(B364,'食材の単価'!$A$5:$A$204,0))&amp;"",""))</f>
        <v/>
      </c>
      <c r="E364" s="80">
        <f>IF(B364="","",IFERROR(INDEX('食材の単価'!$G$5:$G$204,MATCH(B364,'食材の単価'!$A$5:$A$204,0)),""))</f>
        <v/>
      </c>
      <c r="F364" s="78">
        <f>IF(AND(ISNUMBER(C364),ISNUMBER(E364)),C364*E364,"")</f>
        <v/>
      </c>
      <c r="G364" s="33" t="n"/>
      <c r="H364" s="34">
        <f>IF(COUNTA(A364:C364,G364)=0,"",IF(TRIM(A364)="","メニュー名がありません",IF(ISNA(MATCH(A364,'メニュー原価率'!$A$8:$A$107,0)),"メニュー原価率に無いメニューです",IF(TRIM(B364)="","食材名がありません",IF(ISNA(MATCH(B364,'食材の単価'!$A$5:$A$204,0)),"食材の単価に無い食材です",IF(NOT(ISNUMBER(C364)),"使用量がありません",IF(NOT(ISNUMBER(E364)),"食材の単価が出ていません（仕入価格・仕入量）","")))))))</f>
        <v/>
      </c>
    </row>
    <row r="365" ht="16" customHeight="1">
      <c r="A365" s="38" t="n"/>
      <c r="B365" s="38" t="n"/>
      <c r="C365" s="39" t="n"/>
      <c r="D365" s="53">
        <f>IF(B365="","",IFERROR(INDEX('食材の単価'!$D$5:$D$204,MATCH(B365,'食材の単価'!$A$5:$A$204,0))&amp;"",""))</f>
        <v/>
      </c>
      <c r="E365" s="80">
        <f>IF(B365="","",IFERROR(INDEX('食材の単価'!$G$5:$G$204,MATCH(B365,'食材の単価'!$A$5:$A$204,0)),""))</f>
        <v/>
      </c>
      <c r="F365" s="78">
        <f>IF(AND(ISNUMBER(C365),ISNUMBER(E365)),C365*E365,"")</f>
        <v/>
      </c>
      <c r="G365" s="33" t="n"/>
      <c r="H365" s="34">
        <f>IF(COUNTA(A365:C365,G365)=0,"",IF(TRIM(A365)="","メニュー名がありません",IF(ISNA(MATCH(A365,'メニュー原価率'!$A$8:$A$107,0)),"メニュー原価率に無いメニューです",IF(TRIM(B365)="","食材名がありません",IF(ISNA(MATCH(B365,'食材の単価'!$A$5:$A$204,0)),"食材の単価に無い食材です",IF(NOT(ISNUMBER(C365)),"使用量がありません",IF(NOT(ISNUMBER(E365)),"食材の単価が出ていません（仕入価格・仕入量）","")))))))</f>
        <v/>
      </c>
    </row>
    <row r="366" ht="16" customHeight="1">
      <c r="A366" s="38" t="n"/>
      <c r="B366" s="38" t="n"/>
      <c r="C366" s="39" t="n"/>
      <c r="D366" s="53">
        <f>IF(B366="","",IFERROR(INDEX('食材の単価'!$D$5:$D$204,MATCH(B366,'食材の単価'!$A$5:$A$204,0))&amp;"",""))</f>
        <v/>
      </c>
      <c r="E366" s="80">
        <f>IF(B366="","",IFERROR(INDEX('食材の単価'!$G$5:$G$204,MATCH(B366,'食材の単価'!$A$5:$A$204,0)),""))</f>
        <v/>
      </c>
      <c r="F366" s="78">
        <f>IF(AND(ISNUMBER(C366),ISNUMBER(E366)),C366*E366,"")</f>
        <v/>
      </c>
      <c r="G366" s="33" t="n"/>
      <c r="H366" s="34">
        <f>IF(COUNTA(A366:C366,G366)=0,"",IF(TRIM(A366)="","メニュー名がありません",IF(ISNA(MATCH(A366,'メニュー原価率'!$A$8:$A$107,0)),"メニュー原価率に無いメニューです",IF(TRIM(B366)="","食材名がありません",IF(ISNA(MATCH(B366,'食材の単価'!$A$5:$A$204,0)),"食材の単価に無い食材です",IF(NOT(ISNUMBER(C366)),"使用量がありません",IF(NOT(ISNUMBER(E366)),"食材の単価が出ていません（仕入価格・仕入量）","")))))))</f>
        <v/>
      </c>
    </row>
    <row r="367" ht="16" customHeight="1">
      <c r="A367" s="38" t="n"/>
      <c r="B367" s="38" t="n"/>
      <c r="C367" s="39" t="n"/>
      <c r="D367" s="53">
        <f>IF(B367="","",IFERROR(INDEX('食材の単価'!$D$5:$D$204,MATCH(B367,'食材の単価'!$A$5:$A$204,0))&amp;"",""))</f>
        <v/>
      </c>
      <c r="E367" s="80">
        <f>IF(B367="","",IFERROR(INDEX('食材の単価'!$G$5:$G$204,MATCH(B367,'食材の単価'!$A$5:$A$204,0)),""))</f>
        <v/>
      </c>
      <c r="F367" s="78">
        <f>IF(AND(ISNUMBER(C367),ISNUMBER(E367)),C367*E367,"")</f>
        <v/>
      </c>
      <c r="G367" s="33" t="n"/>
      <c r="H367" s="34">
        <f>IF(COUNTA(A367:C367,G367)=0,"",IF(TRIM(A367)="","メニュー名がありません",IF(ISNA(MATCH(A367,'メニュー原価率'!$A$8:$A$107,0)),"メニュー原価率に無いメニューです",IF(TRIM(B367)="","食材名がありません",IF(ISNA(MATCH(B367,'食材の単価'!$A$5:$A$204,0)),"食材の単価に無い食材です",IF(NOT(ISNUMBER(C367)),"使用量がありません",IF(NOT(ISNUMBER(E367)),"食材の単価が出ていません（仕入価格・仕入量）","")))))))</f>
        <v/>
      </c>
    </row>
    <row r="368" ht="16" customHeight="1">
      <c r="A368" s="38" t="n"/>
      <c r="B368" s="38" t="n"/>
      <c r="C368" s="39" t="n"/>
      <c r="D368" s="53">
        <f>IF(B368="","",IFERROR(INDEX('食材の単価'!$D$5:$D$204,MATCH(B368,'食材の単価'!$A$5:$A$204,0))&amp;"",""))</f>
        <v/>
      </c>
      <c r="E368" s="80">
        <f>IF(B368="","",IFERROR(INDEX('食材の単価'!$G$5:$G$204,MATCH(B368,'食材の単価'!$A$5:$A$204,0)),""))</f>
        <v/>
      </c>
      <c r="F368" s="78">
        <f>IF(AND(ISNUMBER(C368),ISNUMBER(E368)),C368*E368,"")</f>
        <v/>
      </c>
      <c r="G368" s="33" t="n"/>
      <c r="H368" s="34">
        <f>IF(COUNTA(A368:C368,G368)=0,"",IF(TRIM(A368)="","メニュー名がありません",IF(ISNA(MATCH(A368,'メニュー原価率'!$A$8:$A$107,0)),"メニュー原価率に無いメニューです",IF(TRIM(B368)="","食材名がありません",IF(ISNA(MATCH(B368,'食材の単価'!$A$5:$A$204,0)),"食材の単価に無い食材です",IF(NOT(ISNUMBER(C368)),"使用量がありません",IF(NOT(ISNUMBER(E368)),"食材の単価が出ていません（仕入価格・仕入量）","")))))))</f>
        <v/>
      </c>
    </row>
    <row r="369" ht="16" customHeight="1">
      <c r="A369" s="38" t="n"/>
      <c r="B369" s="38" t="n"/>
      <c r="C369" s="39" t="n"/>
      <c r="D369" s="53">
        <f>IF(B369="","",IFERROR(INDEX('食材の単価'!$D$5:$D$204,MATCH(B369,'食材の単価'!$A$5:$A$204,0))&amp;"",""))</f>
        <v/>
      </c>
      <c r="E369" s="80">
        <f>IF(B369="","",IFERROR(INDEX('食材の単価'!$G$5:$G$204,MATCH(B369,'食材の単価'!$A$5:$A$204,0)),""))</f>
        <v/>
      </c>
      <c r="F369" s="78">
        <f>IF(AND(ISNUMBER(C369),ISNUMBER(E369)),C369*E369,"")</f>
        <v/>
      </c>
      <c r="G369" s="33" t="n"/>
      <c r="H369" s="34">
        <f>IF(COUNTA(A369:C369,G369)=0,"",IF(TRIM(A369)="","メニュー名がありません",IF(ISNA(MATCH(A369,'メニュー原価率'!$A$8:$A$107,0)),"メニュー原価率に無いメニューです",IF(TRIM(B369)="","食材名がありません",IF(ISNA(MATCH(B369,'食材の単価'!$A$5:$A$204,0)),"食材の単価に無い食材です",IF(NOT(ISNUMBER(C369)),"使用量がありません",IF(NOT(ISNUMBER(E369)),"食材の単価が出ていません（仕入価格・仕入量）","")))))))</f>
        <v/>
      </c>
    </row>
    <row r="370" ht="16" customHeight="1">
      <c r="A370" s="38" t="n"/>
      <c r="B370" s="38" t="n"/>
      <c r="C370" s="39" t="n"/>
      <c r="D370" s="53">
        <f>IF(B370="","",IFERROR(INDEX('食材の単価'!$D$5:$D$204,MATCH(B370,'食材の単価'!$A$5:$A$204,0))&amp;"",""))</f>
        <v/>
      </c>
      <c r="E370" s="80">
        <f>IF(B370="","",IFERROR(INDEX('食材の単価'!$G$5:$G$204,MATCH(B370,'食材の単価'!$A$5:$A$204,0)),""))</f>
        <v/>
      </c>
      <c r="F370" s="78">
        <f>IF(AND(ISNUMBER(C370),ISNUMBER(E370)),C370*E370,"")</f>
        <v/>
      </c>
      <c r="G370" s="33" t="n"/>
      <c r="H370" s="34">
        <f>IF(COUNTA(A370:C370,G370)=0,"",IF(TRIM(A370)="","メニュー名がありません",IF(ISNA(MATCH(A370,'メニュー原価率'!$A$8:$A$107,0)),"メニュー原価率に無いメニューです",IF(TRIM(B370)="","食材名がありません",IF(ISNA(MATCH(B370,'食材の単価'!$A$5:$A$204,0)),"食材の単価に無い食材です",IF(NOT(ISNUMBER(C370)),"使用量がありません",IF(NOT(ISNUMBER(E370)),"食材の単価が出ていません（仕入価格・仕入量）","")))))))</f>
        <v/>
      </c>
    </row>
    <row r="371" ht="16" customHeight="1">
      <c r="A371" s="38" t="n"/>
      <c r="B371" s="38" t="n"/>
      <c r="C371" s="39" t="n"/>
      <c r="D371" s="53">
        <f>IF(B371="","",IFERROR(INDEX('食材の単価'!$D$5:$D$204,MATCH(B371,'食材の単価'!$A$5:$A$204,0))&amp;"",""))</f>
        <v/>
      </c>
      <c r="E371" s="80">
        <f>IF(B371="","",IFERROR(INDEX('食材の単価'!$G$5:$G$204,MATCH(B371,'食材の単価'!$A$5:$A$204,0)),""))</f>
        <v/>
      </c>
      <c r="F371" s="78">
        <f>IF(AND(ISNUMBER(C371),ISNUMBER(E371)),C371*E371,"")</f>
        <v/>
      </c>
      <c r="G371" s="33" t="n"/>
      <c r="H371" s="34">
        <f>IF(COUNTA(A371:C371,G371)=0,"",IF(TRIM(A371)="","メニュー名がありません",IF(ISNA(MATCH(A371,'メニュー原価率'!$A$8:$A$107,0)),"メニュー原価率に無いメニューです",IF(TRIM(B371)="","食材名がありません",IF(ISNA(MATCH(B371,'食材の単価'!$A$5:$A$204,0)),"食材の単価に無い食材です",IF(NOT(ISNUMBER(C371)),"使用量がありません",IF(NOT(ISNUMBER(E371)),"食材の単価が出ていません（仕入価格・仕入量）","")))))))</f>
        <v/>
      </c>
    </row>
    <row r="372" ht="16" customHeight="1">
      <c r="A372" s="38" t="n"/>
      <c r="B372" s="38" t="n"/>
      <c r="C372" s="39" t="n"/>
      <c r="D372" s="53">
        <f>IF(B372="","",IFERROR(INDEX('食材の単価'!$D$5:$D$204,MATCH(B372,'食材の単価'!$A$5:$A$204,0))&amp;"",""))</f>
        <v/>
      </c>
      <c r="E372" s="80">
        <f>IF(B372="","",IFERROR(INDEX('食材の単価'!$G$5:$G$204,MATCH(B372,'食材の単価'!$A$5:$A$204,0)),""))</f>
        <v/>
      </c>
      <c r="F372" s="78">
        <f>IF(AND(ISNUMBER(C372),ISNUMBER(E372)),C372*E372,"")</f>
        <v/>
      </c>
      <c r="G372" s="33" t="n"/>
      <c r="H372" s="34">
        <f>IF(COUNTA(A372:C372,G372)=0,"",IF(TRIM(A372)="","メニュー名がありません",IF(ISNA(MATCH(A372,'メニュー原価率'!$A$8:$A$107,0)),"メニュー原価率に無いメニューです",IF(TRIM(B372)="","食材名がありません",IF(ISNA(MATCH(B372,'食材の単価'!$A$5:$A$204,0)),"食材の単価に無い食材です",IF(NOT(ISNUMBER(C372)),"使用量がありません",IF(NOT(ISNUMBER(E372)),"食材の単価が出ていません（仕入価格・仕入量）","")))))))</f>
        <v/>
      </c>
    </row>
    <row r="373" ht="16" customHeight="1">
      <c r="A373" s="38" t="n"/>
      <c r="B373" s="38" t="n"/>
      <c r="C373" s="39" t="n"/>
      <c r="D373" s="53">
        <f>IF(B373="","",IFERROR(INDEX('食材の単価'!$D$5:$D$204,MATCH(B373,'食材の単価'!$A$5:$A$204,0))&amp;"",""))</f>
        <v/>
      </c>
      <c r="E373" s="80">
        <f>IF(B373="","",IFERROR(INDEX('食材の単価'!$G$5:$G$204,MATCH(B373,'食材の単価'!$A$5:$A$204,0)),""))</f>
        <v/>
      </c>
      <c r="F373" s="78">
        <f>IF(AND(ISNUMBER(C373),ISNUMBER(E373)),C373*E373,"")</f>
        <v/>
      </c>
      <c r="G373" s="33" t="n"/>
      <c r="H373" s="34">
        <f>IF(COUNTA(A373:C373,G373)=0,"",IF(TRIM(A373)="","メニュー名がありません",IF(ISNA(MATCH(A373,'メニュー原価率'!$A$8:$A$107,0)),"メニュー原価率に無いメニューです",IF(TRIM(B373)="","食材名がありません",IF(ISNA(MATCH(B373,'食材の単価'!$A$5:$A$204,0)),"食材の単価に無い食材です",IF(NOT(ISNUMBER(C373)),"使用量がありません",IF(NOT(ISNUMBER(E373)),"食材の単価が出ていません（仕入価格・仕入量）","")))))))</f>
        <v/>
      </c>
    </row>
    <row r="374" ht="16" customHeight="1">
      <c r="A374" s="38" t="n"/>
      <c r="B374" s="38" t="n"/>
      <c r="C374" s="39" t="n"/>
      <c r="D374" s="53">
        <f>IF(B374="","",IFERROR(INDEX('食材の単価'!$D$5:$D$204,MATCH(B374,'食材の単価'!$A$5:$A$204,0))&amp;"",""))</f>
        <v/>
      </c>
      <c r="E374" s="80">
        <f>IF(B374="","",IFERROR(INDEX('食材の単価'!$G$5:$G$204,MATCH(B374,'食材の単価'!$A$5:$A$204,0)),""))</f>
        <v/>
      </c>
      <c r="F374" s="78">
        <f>IF(AND(ISNUMBER(C374),ISNUMBER(E374)),C374*E374,"")</f>
        <v/>
      </c>
      <c r="G374" s="33" t="n"/>
      <c r="H374" s="34">
        <f>IF(COUNTA(A374:C374,G374)=0,"",IF(TRIM(A374)="","メニュー名がありません",IF(ISNA(MATCH(A374,'メニュー原価率'!$A$8:$A$107,0)),"メニュー原価率に無いメニューです",IF(TRIM(B374)="","食材名がありません",IF(ISNA(MATCH(B374,'食材の単価'!$A$5:$A$204,0)),"食材の単価に無い食材です",IF(NOT(ISNUMBER(C374)),"使用量がありません",IF(NOT(ISNUMBER(E374)),"食材の単価が出ていません（仕入価格・仕入量）","")))))))</f>
        <v/>
      </c>
    </row>
    <row r="375" ht="16" customHeight="1">
      <c r="A375" s="38" t="n"/>
      <c r="B375" s="38" t="n"/>
      <c r="C375" s="39" t="n"/>
      <c r="D375" s="53">
        <f>IF(B375="","",IFERROR(INDEX('食材の単価'!$D$5:$D$204,MATCH(B375,'食材の単価'!$A$5:$A$204,0))&amp;"",""))</f>
        <v/>
      </c>
      <c r="E375" s="80">
        <f>IF(B375="","",IFERROR(INDEX('食材の単価'!$G$5:$G$204,MATCH(B375,'食材の単価'!$A$5:$A$204,0)),""))</f>
        <v/>
      </c>
      <c r="F375" s="78">
        <f>IF(AND(ISNUMBER(C375),ISNUMBER(E375)),C375*E375,"")</f>
        <v/>
      </c>
      <c r="G375" s="33" t="n"/>
      <c r="H375" s="34">
        <f>IF(COUNTA(A375:C375,G375)=0,"",IF(TRIM(A375)="","メニュー名がありません",IF(ISNA(MATCH(A375,'メニュー原価率'!$A$8:$A$107,0)),"メニュー原価率に無いメニューです",IF(TRIM(B375)="","食材名がありません",IF(ISNA(MATCH(B375,'食材の単価'!$A$5:$A$204,0)),"食材の単価に無い食材です",IF(NOT(ISNUMBER(C375)),"使用量がありません",IF(NOT(ISNUMBER(E375)),"食材の単価が出ていません（仕入価格・仕入量）","")))))))</f>
        <v/>
      </c>
    </row>
    <row r="376" ht="16" customHeight="1">
      <c r="A376" s="38" t="n"/>
      <c r="B376" s="38" t="n"/>
      <c r="C376" s="39" t="n"/>
      <c r="D376" s="53">
        <f>IF(B376="","",IFERROR(INDEX('食材の単価'!$D$5:$D$204,MATCH(B376,'食材の単価'!$A$5:$A$204,0))&amp;"",""))</f>
        <v/>
      </c>
      <c r="E376" s="80">
        <f>IF(B376="","",IFERROR(INDEX('食材の単価'!$G$5:$G$204,MATCH(B376,'食材の単価'!$A$5:$A$204,0)),""))</f>
        <v/>
      </c>
      <c r="F376" s="78">
        <f>IF(AND(ISNUMBER(C376),ISNUMBER(E376)),C376*E376,"")</f>
        <v/>
      </c>
      <c r="G376" s="33" t="n"/>
      <c r="H376" s="34">
        <f>IF(COUNTA(A376:C376,G376)=0,"",IF(TRIM(A376)="","メニュー名がありません",IF(ISNA(MATCH(A376,'メニュー原価率'!$A$8:$A$107,0)),"メニュー原価率に無いメニューです",IF(TRIM(B376)="","食材名がありません",IF(ISNA(MATCH(B376,'食材の単価'!$A$5:$A$204,0)),"食材の単価に無い食材です",IF(NOT(ISNUMBER(C376)),"使用量がありません",IF(NOT(ISNUMBER(E376)),"食材の単価が出ていません（仕入価格・仕入量）","")))))))</f>
        <v/>
      </c>
    </row>
    <row r="377" ht="16" customHeight="1">
      <c r="A377" s="38" t="n"/>
      <c r="B377" s="38" t="n"/>
      <c r="C377" s="39" t="n"/>
      <c r="D377" s="53">
        <f>IF(B377="","",IFERROR(INDEX('食材の単価'!$D$5:$D$204,MATCH(B377,'食材の単価'!$A$5:$A$204,0))&amp;"",""))</f>
        <v/>
      </c>
      <c r="E377" s="80">
        <f>IF(B377="","",IFERROR(INDEX('食材の単価'!$G$5:$G$204,MATCH(B377,'食材の単価'!$A$5:$A$204,0)),""))</f>
        <v/>
      </c>
      <c r="F377" s="78">
        <f>IF(AND(ISNUMBER(C377),ISNUMBER(E377)),C377*E377,"")</f>
        <v/>
      </c>
      <c r="G377" s="33" t="n"/>
      <c r="H377" s="34">
        <f>IF(COUNTA(A377:C377,G377)=0,"",IF(TRIM(A377)="","メニュー名がありません",IF(ISNA(MATCH(A377,'メニュー原価率'!$A$8:$A$107,0)),"メニュー原価率に無いメニューです",IF(TRIM(B377)="","食材名がありません",IF(ISNA(MATCH(B377,'食材の単価'!$A$5:$A$204,0)),"食材の単価に無い食材です",IF(NOT(ISNUMBER(C377)),"使用量がありません",IF(NOT(ISNUMBER(E377)),"食材の単価が出ていません（仕入価格・仕入量）","")))))))</f>
        <v/>
      </c>
    </row>
    <row r="378" ht="16" customHeight="1">
      <c r="A378" s="38" t="n"/>
      <c r="B378" s="38" t="n"/>
      <c r="C378" s="39" t="n"/>
      <c r="D378" s="53">
        <f>IF(B378="","",IFERROR(INDEX('食材の単価'!$D$5:$D$204,MATCH(B378,'食材の単価'!$A$5:$A$204,0))&amp;"",""))</f>
        <v/>
      </c>
      <c r="E378" s="80">
        <f>IF(B378="","",IFERROR(INDEX('食材の単価'!$G$5:$G$204,MATCH(B378,'食材の単価'!$A$5:$A$204,0)),""))</f>
        <v/>
      </c>
      <c r="F378" s="78">
        <f>IF(AND(ISNUMBER(C378),ISNUMBER(E378)),C378*E378,"")</f>
        <v/>
      </c>
      <c r="G378" s="33" t="n"/>
      <c r="H378" s="34">
        <f>IF(COUNTA(A378:C378,G378)=0,"",IF(TRIM(A378)="","メニュー名がありません",IF(ISNA(MATCH(A378,'メニュー原価率'!$A$8:$A$107,0)),"メニュー原価率に無いメニューです",IF(TRIM(B378)="","食材名がありません",IF(ISNA(MATCH(B378,'食材の単価'!$A$5:$A$204,0)),"食材の単価に無い食材です",IF(NOT(ISNUMBER(C378)),"使用量がありません",IF(NOT(ISNUMBER(E378)),"食材の単価が出ていません（仕入価格・仕入量）","")))))))</f>
        <v/>
      </c>
    </row>
    <row r="379" ht="16" customHeight="1">
      <c r="A379" s="38" t="n"/>
      <c r="B379" s="38" t="n"/>
      <c r="C379" s="39" t="n"/>
      <c r="D379" s="53">
        <f>IF(B379="","",IFERROR(INDEX('食材の単価'!$D$5:$D$204,MATCH(B379,'食材の単価'!$A$5:$A$204,0))&amp;"",""))</f>
        <v/>
      </c>
      <c r="E379" s="80">
        <f>IF(B379="","",IFERROR(INDEX('食材の単価'!$G$5:$G$204,MATCH(B379,'食材の単価'!$A$5:$A$204,0)),""))</f>
        <v/>
      </c>
      <c r="F379" s="78">
        <f>IF(AND(ISNUMBER(C379),ISNUMBER(E379)),C379*E379,"")</f>
        <v/>
      </c>
      <c r="G379" s="33" t="n"/>
      <c r="H379" s="34">
        <f>IF(COUNTA(A379:C379,G379)=0,"",IF(TRIM(A379)="","メニュー名がありません",IF(ISNA(MATCH(A379,'メニュー原価率'!$A$8:$A$107,0)),"メニュー原価率に無いメニューです",IF(TRIM(B379)="","食材名がありません",IF(ISNA(MATCH(B379,'食材の単価'!$A$5:$A$204,0)),"食材の単価に無い食材です",IF(NOT(ISNUMBER(C379)),"使用量がありません",IF(NOT(ISNUMBER(E379)),"食材の単価が出ていません（仕入価格・仕入量）","")))))))</f>
        <v/>
      </c>
    </row>
    <row r="380" ht="16" customHeight="1">
      <c r="A380" s="38" t="n"/>
      <c r="B380" s="38" t="n"/>
      <c r="C380" s="39" t="n"/>
      <c r="D380" s="53">
        <f>IF(B380="","",IFERROR(INDEX('食材の単価'!$D$5:$D$204,MATCH(B380,'食材の単価'!$A$5:$A$204,0))&amp;"",""))</f>
        <v/>
      </c>
      <c r="E380" s="80">
        <f>IF(B380="","",IFERROR(INDEX('食材の単価'!$G$5:$G$204,MATCH(B380,'食材の単価'!$A$5:$A$204,0)),""))</f>
        <v/>
      </c>
      <c r="F380" s="78">
        <f>IF(AND(ISNUMBER(C380),ISNUMBER(E380)),C380*E380,"")</f>
        <v/>
      </c>
      <c r="G380" s="33" t="n"/>
      <c r="H380" s="34">
        <f>IF(COUNTA(A380:C380,G380)=0,"",IF(TRIM(A380)="","メニュー名がありません",IF(ISNA(MATCH(A380,'メニュー原価率'!$A$8:$A$107,0)),"メニュー原価率に無いメニューです",IF(TRIM(B380)="","食材名がありません",IF(ISNA(MATCH(B380,'食材の単価'!$A$5:$A$204,0)),"食材の単価に無い食材です",IF(NOT(ISNUMBER(C380)),"使用量がありません",IF(NOT(ISNUMBER(E380)),"食材の単価が出ていません（仕入価格・仕入量）","")))))))</f>
        <v/>
      </c>
    </row>
    <row r="381" ht="16" customHeight="1">
      <c r="A381" s="38" t="n"/>
      <c r="B381" s="38" t="n"/>
      <c r="C381" s="39" t="n"/>
      <c r="D381" s="53">
        <f>IF(B381="","",IFERROR(INDEX('食材の単価'!$D$5:$D$204,MATCH(B381,'食材の単価'!$A$5:$A$204,0))&amp;"",""))</f>
        <v/>
      </c>
      <c r="E381" s="80">
        <f>IF(B381="","",IFERROR(INDEX('食材の単価'!$G$5:$G$204,MATCH(B381,'食材の単価'!$A$5:$A$204,0)),""))</f>
        <v/>
      </c>
      <c r="F381" s="78">
        <f>IF(AND(ISNUMBER(C381),ISNUMBER(E381)),C381*E381,"")</f>
        <v/>
      </c>
      <c r="G381" s="33" t="n"/>
      <c r="H381" s="34">
        <f>IF(COUNTA(A381:C381,G381)=0,"",IF(TRIM(A381)="","メニュー名がありません",IF(ISNA(MATCH(A381,'メニュー原価率'!$A$8:$A$107,0)),"メニュー原価率に無いメニューです",IF(TRIM(B381)="","食材名がありません",IF(ISNA(MATCH(B381,'食材の単価'!$A$5:$A$204,0)),"食材の単価に無い食材です",IF(NOT(ISNUMBER(C381)),"使用量がありません",IF(NOT(ISNUMBER(E381)),"食材の単価が出ていません（仕入価格・仕入量）","")))))))</f>
        <v/>
      </c>
    </row>
    <row r="382" ht="16" customHeight="1">
      <c r="A382" s="38" t="n"/>
      <c r="B382" s="38" t="n"/>
      <c r="C382" s="39" t="n"/>
      <c r="D382" s="53">
        <f>IF(B382="","",IFERROR(INDEX('食材の単価'!$D$5:$D$204,MATCH(B382,'食材の単価'!$A$5:$A$204,0))&amp;"",""))</f>
        <v/>
      </c>
      <c r="E382" s="80">
        <f>IF(B382="","",IFERROR(INDEX('食材の単価'!$G$5:$G$204,MATCH(B382,'食材の単価'!$A$5:$A$204,0)),""))</f>
        <v/>
      </c>
      <c r="F382" s="78">
        <f>IF(AND(ISNUMBER(C382),ISNUMBER(E382)),C382*E382,"")</f>
        <v/>
      </c>
      <c r="G382" s="33" t="n"/>
      <c r="H382" s="34">
        <f>IF(COUNTA(A382:C382,G382)=0,"",IF(TRIM(A382)="","メニュー名がありません",IF(ISNA(MATCH(A382,'メニュー原価率'!$A$8:$A$107,0)),"メニュー原価率に無いメニューです",IF(TRIM(B382)="","食材名がありません",IF(ISNA(MATCH(B382,'食材の単価'!$A$5:$A$204,0)),"食材の単価に無い食材です",IF(NOT(ISNUMBER(C382)),"使用量がありません",IF(NOT(ISNUMBER(E382)),"食材の単価が出ていません（仕入価格・仕入量）","")))))))</f>
        <v/>
      </c>
    </row>
    <row r="383" ht="16" customHeight="1">
      <c r="A383" s="38" t="n"/>
      <c r="B383" s="38" t="n"/>
      <c r="C383" s="39" t="n"/>
      <c r="D383" s="53">
        <f>IF(B383="","",IFERROR(INDEX('食材の単価'!$D$5:$D$204,MATCH(B383,'食材の単価'!$A$5:$A$204,0))&amp;"",""))</f>
        <v/>
      </c>
      <c r="E383" s="80">
        <f>IF(B383="","",IFERROR(INDEX('食材の単価'!$G$5:$G$204,MATCH(B383,'食材の単価'!$A$5:$A$204,0)),""))</f>
        <v/>
      </c>
      <c r="F383" s="78">
        <f>IF(AND(ISNUMBER(C383),ISNUMBER(E383)),C383*E383,"")</f>
        <v/>
      </c>
      <c r="G383" s="33" t="n"/>
      <c r="H383" s="34">
        <f>IF(COUNTA(A383:C383,G383)=0,"",IF(TRIM(A383)="","メニュー名がありません",IF(ISNA(MATCH(A383,'メニュー原価率'!$A$8:$A$107,0)),"メニュー原価率に無いメニューです",IF(TRIM(B383)="","食材名がありません",IF(ISNA(MATCH(B383,'食材の単価'!$A$5:$A$204,0)),"食材の単価に無い食材です",IF(NOT(ISNUMBER(C383)),"使用量がありません",IF(NOT(ISNUMBER(E383)),"食材の単価が出ていません（仕入価格・仕入量）","")))))))</f>
        <v/>
      </c>
    </row>
    <row r="384" ht="16" customHeight="1">
      <c r="A384" s="38" t="n"/>
      <c r="B384" s="38" t="n"/>
      <c r="C384" s="39" t="n"/>
      <c r="D384" s="53">
        <f>IF(B384="","",IFERROR(INDEX('食材の単価'!$D$5:$D$204,MATCH(B384,'食材の単価'!$A$5:$A$204,0))&amp;"",""))</f>
        <v/>
      </c>
      <c r="E384" s="80">
        <f>IF(B384="","",IFERROR(INDEX('食材の単価'!$G$5:$G$204,MATCH(B384,'食材の単価'!$A$5:$A$204,0)),""))</f>
        <v/>
      </c>
      <c r="F384" s="78">
        <f>IF(AND(ISNUMBER(C384),ISNUMBER(E384)),C384*E384,"")</f>
        <v/>
      </c>
      <c r="G384" s="33" t="n"/>
      <c r="H384" s="34">
        <f>IF(COUNTA(A384:C384,G384)=0,"",IF(TRIM(A384)="","メニュー名がありません",IF(ISNA(MATCH(A384,'メニュー原価率'!$A$8:$A$107,0)),"メニュー原価率に無いメニューです",IF(TRIM(B384)="","食材名がありません",IF(ISNA(MATCH(B384,'食材の単価'!$A$5:$A$204,0)),"食材の単価に無い食材です",IF(NOT(ISNUMBER(C384)),"使用量がありません",IF(NOT(ISNUMBER(E384)),"食材の単価が出ていません（仕入価格・仕入量）","")))))))</f>
        <v/>
      </c>
    </row>
    <row r="385" ht="16" customHeight="1">
      <c r="A385" s="38" t="n"/>
      <c r="B385" s="38" t="n"/>
      <c r="C385" s="39" t="n"/>
      <c r="D385" s="53">
        <f>IF(B385="","",IFERROR(INDEX('食材の単価'!$D$5:$D$204,MATCH(B385,'食材の単価'!$A$5:$A$204,0))&amp;"",""))</f>
        <v/>
      </c>
      <c r="E385" s="80">
        <f>IF(B385="","",IFERROR(INDEX('食材の単価'!$G$5:$G$204,MATCH(B385,'食材の単価'!$A$5:$A$204,0)),""))</f>
        <v/>
      </c>
      <c r="F385" s="78">
        <f>IF(AND(ISNUMBER(C385),ISNUMBER(E385)),C385*E385,"")</f>
        <v/>
      </c>
      <c r="G385" s="33" t="n"/>
      <c r="H385" s="34">
        <f>IF(COUNTA(A385:C385,G385)=0,"",IF(TRIM(A385)="","メニュー名がありません",IF(ISNA(MATCH(A385,'メニュー原価率'!$A$8:$A$107,0)),"メニュー原価率に無いメニューです",IF(TRIM(B385)="","食材名がありません",IF(ISNA(MATCH(B385,'食材の単価'!$A$5:$A$204,0)),"食材の単価に無い食材です",IF(NOT(ISNUMBER(C385)),"使用量がありません",IF(NOT(ISNUMBER(E385)),"食材の単価が出ていません（仕入価格・仕入量）","")))))))</f>
        <v/>
      </c>
    </row>
    <row r="386" ht="16" customHeight="1">
      <c r="A386" s="38" t="n"/>
      <c r="B386" s="38" t="n"/>
      <c r="C386" s="39" t="n"/>
      <c r="D386" s="53">
        <f>IF(B386="","",IFERROR(INDEX('食材の単価'!$D$5:$D$204,MATCH(B386,'食材の単価'!$A$5:$A$204,0))&amp;"",""))</f>
        <v/>
      </c>
      <c r="E386" s="80">
        <f>IF(B386="","",IFERROR(INDEX('食材の単価'!$G$5:$G$204,MATCH(B386,'食材の単価'!$A$5:$A$204,0)),""))</f>
        <v/>
      </c>
      <c r="F386" s="78">
        <f>IF(AND(ISNUMBER(C386),ISNUMBER(E386)),C386*E386,"")</f>
        <v/>
      </c>
      <c r="G386" s="33" t="n"/>
      <c r="H386" s="34">
        <f>IF(COUNTA(A386:C386,G386)=0,"",IF(TRIM(A386)="","メニュー名がありません",IF(ISNA(MATCH(A386,'メニュー原価率'!$A$8:$A$107,0)),"メニュー原価率に無いメニューです",IF(TRIM(B386)="","食材名がありません",IF(ISNA(MATCH(B386,'食材の単価'!$A$5:$A$204,0)),"食材の単価に無い食材です",IF(NOT(ISNUMBER(C386)),"使用量がありません",IF(NOT(ISNUMBER(E386)),"食材の単価が出ていません（仕入価格・仕入量）","")))))))</f>
        <v/>
      </c>
    </row>
    <row r="387" ht="16" customHeight="1">
      <c r="A387" s="38" t="n"/>
      <c r="B387" s="38" t="n"/>
      <c r="C387" s="39" t="n"/>
      <c r="D387" s="53">
        <f>IF(B387="","",IFERROR(INDEX('食材の単価'!$D$5:$D$204,MATCH(B387,'食材の単価'!$A$5:$A$204,0))&amp;"",""))</f>
        <v/>
      </c>
      <c r="E387" s="80">
        <f>IF(B387="","",IFERROR(INDEX('食材の単価'!$G$5:$G$204,MATCH(B387,'食材の単価'!$A$5:$A$204,0)),""))</f>
        <v/>
      </c>
      <c r="F387" s="78">
        <f>IF(AND(ISNUMBER(C387),ISNUMBER(E387)),C387*E387,"")</f>
        <v/>
      </c>
      <c r="G387" s="33" t="n"/>
      <c r="H387" s="34">
        <f>IF(COUNTA(A387:C387,G387)=0,"",IF(TRIM(A387)="","メニュー名がありません",IF(ISNA(MATCH(A387,'メニュー原価率'!$A$8:$A$107,0)),"メニュー原価率に無いメニューです",IF(TRIM(B387)="","食材名がありません",IF(ISNA(MATCH(B387,'食材の単価'!$A$5:$A$204,0)),"食材の単価に無い食材です",IF(NOT(ISNUMBER(C387)),"使用量がありません",IF(NOT(ISNUMBER(E387)),"食材の単価が出ていません（仕入価格・仕入量）","")))))))</f>
        <v/>
      </c>
    </row>
    <row r="388" ht="16" customHeight="1">
      <c r="A388" s="38" t="n"/>
      <c r="B388" s="38" t="n"/>
      <c r="C388" s="39" t="n"/>
      <c r="D388" s="53">
        <f>IF(B388="","",IFERROR(INDEX('食材の単価'!$D$5:$D$204,MATCH(B388,'食材の単価'!$A$5:$A$204,0))&amp;"",""))</f>
        <v/>
      </c>
      <c r="E388" s="80">
        <f>IF(B388="","",IFERROR(INDEX('食材の単価'!$G$5:$G$204,MATCH(B388,'食材の単価'!$A$5:$A$204,0)),""))</f>
        <v/>
      </c>
      <c r="F388" s="78">
        <f>IF(AND(ISNUMBER(C388),ISNUMBER(E388)),C388*E388,"")</f>
        <v/>
      </c>
      <c r="G388" s="33" t="n"/>
      <c r="H388" s="34">
        <f>IF(COUNTA(A388:C388,G388)=0,"",IF(TRIM(A388)="","メニュー名がありません",IF(ISNA(MATCH(A388,'メニュー原価率'!$A$8:$A$107,0)),"メニュー原価率に無いメニューです",IF(TRIM(B388)="","食材名がありません",IF(ISNA(MATCH(B388,'食材の単価'!$A$5:$A$204,0)),"食材の単価に無い食材です",IF(NOT(ISNUMBER(C388)),"使用量がありません",IF(NOT(ISNUMBER(E388)),"食材の単価が出ていません（仕入価格・仕入量）","")))))))</f>
        <v/>
      </c>
    </row>
    <row r="389" ht="16" customHeight="1">
      <c r="A389" s="38" t="n"/>
      <c r="B389" s="38" t="n"/>
      <c r="C389" s="39" t="n"/>
      <c r="D389" s="53">
        <f>IF(B389="","",IFERROR(INDEX('食材の単価'!$D$5:$D$204,MATCH(B389,'食材の単価'!$A$5:$A$204,0))&amp;"",""))</f>
        <v/>
      </c>
      <c r="E389" s="80">
        <f>IF(B389="","",IFERROR(INDEX('食材の単価'!$G$5:$G$204,MATCH(B389,'食材の単価'!$A$5:$A$204,0)),""))</f>
        <v/>
      </c>
      <c r="F389" s="78">
        <f>IF(AND(ISNUMBER(C389),ISNUMBER(E389)),C389*E389,"")</f>
        <v/>
      </c>
      <c r="G389" s="33" t="n"/>
      <c r="H389" s="34">
        <f>IF(COUNTA(A389:C389,G389)=0,"",IF(TRIM(A389)="","メニュー名がありません",IF(ISNA(MATCH(A389,'メニュー原価率'!$A$8:$A$107,0)),"メニュー原価率に無いメニューです",IF(TRIM(B389)="","食材名がありません",IF(ISNA(MATCH(B389,'食材の単価'!$A$5:$A$204,0)),"食材の単価に無い食材です",IF(NOT(ISNUMBER(C389)),"使用量がありません",IF(NOT(ISNUMBER(E389)),"食材の単価が出ていません（仕入価格・仕入量）","")))))))</f>
        <v/>
      </c>
    </row>
    <row r="390" ht="16" customHeight="1">
      <c r="A390" s="38" t="n"/>
      <c r="B390" s="38" t="n"/>
      <c r="C390" s="39" t="n"/>
      <c r="D390" s="53">
        <f>IF(B390="","",IFERROR(INDEX('食材の単価'!$D$5:$D$204,MATCH(B390,'食材の単価'!$A$5:$A$204,0))&amp;"",""))</f>
        <v/>
      </c>
      <c r="E390" s="80">
        <f>IF(B390="","",IFERROR(INDEX('食材の単価'!$G$5:$G$204,MATCH(B390,'食材の単価'!$A$5:$A$204,0)),""))</f>
        <v/>
      </c>
      <c r="F390" s="78">
        <f>IF(AND(ISNUMBER(C390),ISNUMBER(E390)),C390*E390,"")</f>
        <v/>
      </c>
      <c r="G390" s="33" t="n"/>
      <c r="H390" s="34">
        <f>IF(COUNTA(A390:C390,G390)=0,"",IF(TRIM(A390)="","メニュー名がありません",IF(ISNA(MATCH(A390,'メニュー原価率'!$A$8:$A$107,0)),"メニュー原価率に無いメニューです",IF(TRIM(B390)="","食材名がありません",IF(ISNA(MATCH(B390,'食材の単価'!$A$5:$A$204,0)),"食材の単価に無い食材です",IF(NOT(ISNUMBER(C390)),"使用量がありません",IF(NOT(ISNUMBER(E390)),"食材の単価が出ていません（仕入価格・仕入量）","")))))))</f>
        <v/>
      </c>
    </row>
    <row r="391" ht="16" customHeight="1">
      <c r="A391" s="38" t="n"/>
      <c r="B391" s="38" t="n"/>
      <c r="C391" s="39" t="n"/>
      <c r="D391" s="53">
        <f>IF(B391="","",IFERROR(INDEX('食材の単価'!$D$5:$D$204,MATCH(B391,'食材の単価'!$A$5:$A$204,0))&amp;"",""))</f>
        <v/>
      </c>
      <c r="E391" s="80">
        <f>IF(B391="","",IFERROR(INDEX('食材の単価'!$G$5:$G$204,MATCH(B391,'食材の単価'!$A$5:$A$204,0)),""))</f>
        <v/>
      </c>
      <c r="F391" s="78">
        <f>IF(AND(ISNUMBER(C391),ISNUMBER(E391)),C391*E391,"")</f>
        <v/>
      </c>
      <c r="G391" s="33" t="n"/>
      <c r="H391" s="34">
        <f>IF(COUNTA(A391:C391,G391)=0,"",IF(TRIM(A391)="","メニュー名がありません",IF(ISNA(MATCH(A391,'メニュー原価率'!$A$8:$A$107,0)),"メニュー原価率に無いメニューです",IF(TRIM(B391)="","食材名がありません",IF(ISNA(MATCH(B391,'食材の単価'!$A$5:$A$204,0)),"食材の単価に無い食材です",IF(NOT(ISNUMBER(C391)),"使用量がありません",IF(NOT(ISNUMBER(E391)),"食材の単価が出ていません（仕入価格・仕入量）","")))))))</f>
        <v/>
      </c>
    </row>
    <row r="392" ht="16" customHeight="1">
      <c r="A392" s="38" t="n"/>
      <c r="B392" s="38" t="n"/>
      <c r="C392" s="39" t="n"/>
      <c r="D392" s="53">
        <f>IF(B392="","",IFERROR(INDEX('食材の単価'!$D$5:$D$204,MATCH(B392,'食材の単価'!$A$5:$A$204,0))&amp;"",""))</f>
        <v/>
      </c>
      <c r="E392" s="80">
        <f>IF(B392="","",IFERROR(INDEX('食材の単価'!$G$5:$G$204,MATCH(B392,'食材の単価'!$A$5:$A$204,0)),""))</f>
        <v/>
      </c>
      <c r="F392" s="78">
        <f>IF(AND(ISNUMBER(C392),ISNUMBER(E392)),C392*E392,"")</f>
        <v/>
      </c>
      <c r="G392" s="33" t="n"/>
      <c r="H392" s="34">
        <f>IF(COUNTA(A392:C392,G392)=0,"",IF(TRIM(A392)="","メニュー名がありません",IF(ISNA(MATCH(A392,'メニュー原価率'!$A$8:$A$107,0)),"メニュー原価率に無いメニューです",IF(TRIM(B392)="","食材名がありません",IF(ISNA(MATCH(B392,'食材の単価'!$A$5:$A$204,0)),"食材の単価に無い食材です",IF(NOT(ISNUMBER(C392)),"使用量がありません",IF(NOT(ISNUMBER(E392)),"食材の単価が出ていません（仕入価格・仕入量）","")))))))</f>
        <v/>
      </c>
    </row>
    <row r="393" ht="16" customHeight="1">
      <c r="A393" s="38" t="n"/>
      <c r="B393" s="38" t="n"/>
      <c r="C393" s="39" t="n"/>
      <c r="D393" s="53">
        <f>IF(B393="","",IFERROR(INDEX('食材の単価'!$D$5:$D$204,MATCH(B393,'食材の単価'!$A$5:$A$204,0))&amp;"",""))</f>
        <v/>
      </c>
      <c r="E393" s="80">
        <f>IF(B393="","",IFERROR(INDEX('食材の単価'!$G$5:$G$204,MATCH(B393,'食材の単価'!$A$5:$A$204,0)),""))</f>
        <v/>
      </c>
      <c r="F393" s="78">
        <f>IF(AND(ISNUMBER(C393),ISNUMBER(E393)),C393*E393,"")</f>
        <v/>
      </c>
      <c r="G393" s="33" t="n"/>
      <c r="H393" s="34">
        <f>IF(COUNTA(A393:C393,G393)=0,"",IF(TRIM(A393)="","メニュー名がありません",IF(ISNA(MATCH(A393,'メニュー原価率'!$A$8:$A$107,0)),"メニュー原価率に無いメニューです",IF(TRIM(B393)="","食材名がありません",IF(ISNA(MATCH(B393,'食材の単価'!$A$5:$A$204,0)),"食材の単価に無い食材です",IF(NOT(ISNUMBER(C393)),"使用量がありません",IF(NOT(ISNUMBER(E393)),"食材の単価が出ていません（仕入価格・仕入量）","")))))))</f>
        <v/>
      </c>
    </row>
    <row r="394" ht="16" customHeight="1">
      <c r="A394" s="38" t="n"/>
      <c r="B394" s="38" t="n"/>
      <c r="C394" s="39" t="n"/>
      <c r="D394" s="53">
        <f>IF(B394="","",IFERROR(INDEX('食材の単価'!$D$5:$D$204,MATCH(B394,'食材の単価'!$A$5:$A$204,0))&amp;"",""))</f>
        <v/>
      </c>
      <c r="E394" s="80">
        <f>IF(B394="","",IFERROR(INDEX('食材の単価'!$G$5:$G$204,MATCH(B394,'食材の単価'!$A$5:$A$204,0)),""))</f>
        <v/>
      </c>
      <c r="F394" s="78">
        <f>IF(AND(ISNUMBER(C394),ISNUMBER(E394)),C394*E394,"")</f>
        <v/>
      </c>
      <c r="G394" s="33" t="n"/>
      <c r="H394" s="34">
        <f>IF(COUNTA(A394:C394,G394)=0,"",IF(TRIM(A394)="","メニュー名がありません",IF(ISNA(MATCH(A394,'メニュー原価率'!$A$8:$A$107,0)),"メニュー原価率に無いメニューです",IF(TRIM(B394)="","食材名がありません",IF(ISNA(MATCH(B394,'食材の単価'!$A$5:$A$204,0)),"食材の単価に無い食材です",IF(NOT(ISNUMBER(C394)),"使用量がありません",IF(NOT(ISNUMBER(E394)),"食材の単価が出ていません（仕入価格・仕入量）","")))))))</f>
        <v/>
      </c>
    </row>
    <row r="395" ht="16" customHeight="1">
      <c r="A395" s="38" t="n"/>
      <c r="B395" s="38" t="n"/>
      <c r="C395" s="39" t="n"/>
      <c r="D395" s="53">
        <f>IF(B395="","",IFERROR(INDEX('食材の単価'!$D$5:$D$204,MATCH(B395,'食材の単価'!$A$5:$A$204,0))&amp;"",""))</f>
        <v/>
      </c>
      <c r="E395" s="80">
        <f>IF(B395="","",IFERROR(INDEX('食材の単価'!$G$5:$G$204,MATCH(B395,'食材の単価'!$A$5:$A$204,0)),""))</f>
        <v/>
      </c>
      <c r="F395" s="78">
        <f>IF(AND(ISNUMBER(C395),ISNUMBER(E395)),C395*E395,"")</f>
        <v/>
      </c>
      <c r="G395" s="33" t="n"/>
      <c r="H395" s="34">
        <f>IF(COUNTA(A395:C395,G395)=0,"",IF(TRIM(A395)="","メニュー名がありません",IF(ISNA(MATCH(A395,'メニュー原価率'!$A$8:$A$107,0)),"メニュー原価率に無いメニューです",IF(TRIM(B395)="","食材名がありません",IF(ISNA(MATCH(B395,'食材の単価'!$A$5:$A$204,0)),"食材の単価に無い食材です",IF(NOT(ISNUMBER(C395)),"使用量がありません",IF(NOT(ISNUMBER(E395)),"食材の単価が出ていません（仕入価格・仕入量）","")))))))</f>
        <v/>
      </c>
    </row>
    <row r="396" ht="16" customHeight="1">
      <c r="A396" s="38" t="n"/>
      <c r="B396" s="38" t="n"/>
      <c r="C396" s="39" t="n"/>
      <c r="D396" s="53">
        <f>IF(B396="","",IFERROR(INDEX('食材の単価'!$D$5:$D$204,MATCH(B396,'食材の単価'!$A$5:$A$204,0))&amp;"",""))</f>
        <v/>
      </c>
      <c r="E396" s="80">
        <f>IF(B396="","",IFERROR(INDEX('食材の単価'!$G$5:$G$204,MATCH(B396,'食材の単価'!$A$5:$A$204,0)),""))</f>
        <v/>
      </c>
      <c r="F396" s="78">
        <f>IF(AND(ISNUMBER(C396),ISNUMBER(E396)),C396*E396,"")</f>
        <v/>
      </c>
      <c r="G396" s="33" t="n"/>
      <c r="H396" s="34">
        <f>IF(COUNTA(A396:C396,G396)=0,"",IF(TRIM(A396)="","メニュー名がありません",IF(ISNA(MATCH(A396,'メニュー原価率'!$A$8:$A$107,0)),"メニュー原価率に無いメニューです",IF(TRIM(B396)="","食材名がありません",IF(ISNA(MATCH(B396,'食材の単価'!$A$5:$A$204,0)),"食材の単価に無い食材です",IF(NOT(ISNUMBER(C396)),"使用量がありません",IF(NOT(ISNUMBER(E396)),"食材の単価が出ていません（仕入価格・仕入量）","")))))))</f>
        <v/>
      </c>
    </row>
    <row r="397" ht="16" customHeight="1">
      <c r="A397" s="38" t="n"/>
      <c r="B397" s="38" t="n"/>
      <c r="C397" s="39" t="n"/>
      <c r="D397" s="53">
        <f>IF(B397="","",IFERROR(INDEX('食材の単価'!$D$5:$D$204,MATCH(B397,'食材の単価'!$A$5:$A$204,0))&amp;"",""))</f>
        <v/>
      </c>
      <c r="E397" s="80">
        <f>IF(B397="","",IFERROR(INDEX('食材の単価'!$G$5:$G$204,MATCH(B397,'食材の単価'!$A$5:$A$204,0)),""))</f>
        <v/>
      </c>
      <c r="F397" s="78">
        <f>IF(AND(ISNUMBER(C397),ISNUMBER(E397)),C397*E397,"")</f>
        <v/>
      </c>
      <c r="G397" s="33" t="n"/>
      <c r="H397" s="34">
        <f>IF(COUNTA(A397:C397,G397)=0,"",IF(TRIM(A397)="","メニュー名がありません",IF(ISNA(MATCH(A397,'メニュー原価率'!$A$8:$A$107,0)),"メニュー原価率に無いメニューです",IF(TRIM(B397)="","食材名がありません",IF(ISNA(MATCH(B397,'食材の単価'!$A$5:$A$204,0)),"食材の単価に無い食材です",IF(NOT(ISNUMBER(C397)),"使用量がありません",IF(NOT(ISNUMBER(E397)),"食材の単価が出ていません（仕入価格・仕入量）","")))))))</f>
        <v/>
      </c>
    </row>
    <row r="398" ht="16" customHeight="1">
      <c r="A398" s="38" t="n"/>
      <c r="B398" s="38" t="n"/>
      <c r="C398" s="39" t="n"/>
      <c r="D398" s="53">
        <f>IF(B398="","",IFERROR(INDEX('食材の単価'!$D$5:$D$204,MATCH(B398,'食材の単価'!$A$5:$A$204,0))&amp;"",""))</f>
        <v/>
      </c>
      <c r="E398" s="80">
        <f>IF(B398="","",IFERROR(INDEX('食材の単価'!$G$5:$G$204,MATCH(B398,'食材の単価'!$A$5:$A$204,0)),""))</f>
        <v/>
      </c>
      <c r="F398" s="78">
        <f>IF(AND(ISNUMBER(C398),ISNUMBER(E398)),C398*E398,"")</f>
        <v/>
      </c>
      <c r="G398" s="33" t="n"/>
      <c r="H398" s="34">
        <f>IF(COUNTA(A398:C398,G398)=0,"",IF(TRIM(A398)="","メニュー名がありません",IF(ISNA(MATCH(A398,'メニュー原価率'!$A$8:$A$107,0)),"メニュー原価率に無いメニューです",IF(TRIM(B398)="","食材名がありません",IF(ISNA(MATCH(B398,'食材の単価'!$A$5:$A$204,0)),"食材の単価に無い食材です",IF(NOT(ISNUMBER(C398)),"使用量がありません",IF(NOT(ISNUMBER(E398)),"食材の単価が出ていません（仕入価格・仕入量）","")))))))</f>
        <v/>
      </c>
    </row>
    <row r="399" ht="16" customHeight="1">
      <c r="A399" s="38" t="n"/>
      <c r="B399" s="38" t="n"/>
      <c r="C399" s="39" t="n"/>
      <c r="D399" s="53">
        <f>IF(B399="","",IFERROR(INDEX('食材の単価'!$D$5:$D$204,MATCH(B399,'食材の単価'!$A$5:$A$204,0))&amp;"",""))</f>
        <v/>
      </c>
      <c r="E399" s="80">
        <f>IF(B399="","",IFERROR(INDEX('食材の単価'!$G$5:$G$204,MATCH(B399,'食材の単価'!$A$5:$A$204,0)),""))</f>
        <v/>
      </c>
      <c r="F399" s="78">
        <f>IF(AND(ISNUMBER(C399),ISNUMBER(E399)),C399*E399,"")</f>
        <v/>
      </c>
      <c r="G399" s="33" t="n"/>
      <c r="H399" s="34">
        <f>IF(COUNTA(A399:C399,G399)=0,"",IF(TRIM(A399)="","メニュー名がありません",IF(ISNA(MATCH(A399,'メニュー原価率'!$A$8:$A$107,0)),"メニュー原価率に無いメニューです",IF(TRIM(B399)="","食材名がありません",IF(ISNA(MATCH(B399,'食材の単価'!$A$5:$A$204,0)),"食材の単価に無い食材です",IF(NOT(ISNUMBER(C399)),"使用量がありません",IF(NOT(ISNUMBER(E399)),"食材の単価が出ていません（仕入価格・仕入量）","")))))))</f>
        <v/>
      </c>
    </row>
    <row r="400" ht="16" customHeight="1">
      <c r="A400" s="38" t="n"/>
      <c r="B400" s="38" t="n"/>
      <c r="C400" s="39" t="n"/>
      <c r="D400" s="53">
        <f>IF(B400="","",IFERROR(INDEX('食材の単価'!$D$5:$D$204,MATCH(B400,'食材の単価'!$A$5:$A$204,0))&amp;"",""))</f>
        <v/>
      </c>
      <c r="E400" s="80">
        <f>IF(B400="","",IFERROR(INDEX('食材の単価'!$G$5:$G$204,MATCH(B400,'食材の単価'!$A$5:$A$204,0)),""))</f>
        <v/>
      </c>
      <c r="F400" s="78">
        <f>IF(AND(ISNUMBER(C400),ISNUMBER(E400)),C400*E400,"")</f>
        <v/>
      </c>
      <c r="G400" s="33" t="n"/>
      <c r="H400" s="34">
        <f>IF(COUNTA(A400:C400,G400)=0,"",IF(TRIM(A400)="","メニュー名がありません",IF(ISNA(MATCH(A400,'メニュー原価率'!$A$8:$A$107,0)),"メニュー原価率に無いメニューです",IF(TRIM(B400)="","食材名がありません",IF(ISNA(MATCH(B400,'食材の単価'!$A$5:$A$204,0)),"食材の単価に無い食材です",IF(NOT(ISNUMBER(C400)),"使用量がありません",IF(NOT(ISNUMBER(E400)),"食材の単価が出ていません（仕入価格・仕入量）","")))))))</f>
        <v/>
      </c>
    </row>
    <row r="401" ht="16" customHeight="1">
      <c r="A401" s="38" t="n"/>
      <c r="B401" s="38" t="n"/>
      <c r="C401" s="39" t="n"/>
      <c r="D401" s="53">
        <f>IF(B401="","",IFERROR(INDEX('食材の単価'!$D$5:$D$204,MATCH(B401,'食材の単価'!$A$5:$A$204,0))&amp;"",""))</f>
        <v/>
      </c>
      <c r="E401" s="80">
        <f>IF(B401="","",IFERROR(INDEX('食材の単価'!$G$5:$G$204,MATCH(B401,'食材の単価'!$A$5:$A$204,0)),""))</f>
        <v/>
      </c>
      <c r="F401" s="78">
        <f>IF(AND(ISNUMBER(C401),ISNUMBER(E401)),C401*E401,"")</f>
        <v/>
      </c>
      <c r="G401" s="33" t="n"/>
      <c r="H401" s="34">
        <f>IF(COUNTA(A401:C401,G401)=0,"",IF(TRIM(A401)="","メニュー名がありません",IF(ISNA(MATCH(A401,'メニュー原価率'!$A$8:$A$107,0)),"メニュー原価率に無いメニューです",IF(TRIM(B401)="","食材名がありません",IF(ISNA(MATCH(B401,'食材の単価'!$A$5:$A$204,0)),"食材の単価に無い食材です",IF(NOT(ISNUMBER(C401)),"使用量がありません",IF(NOT(ISNUMBER(E401)),"食材の単価が出ていません（仕入価格・仕入量）","")))))))</f>
        <v/>
      </c>
    </row>
    <row r="402" ht="16" customHeight="1">
      <c r="A402" s="38" t="n"/>
      <c r="B402" s="38" t="n"/>
      <c r="C402" s="39" t="n"/>
      <c r="D402" s="53">
        <f>IF(B402="","",IFERROR(INDEX('食材の単価'!$D$5:$D$204,MATCH(B402,'食材の単価'!$A$5:$A$204,0))&amp;"",""))</f>
        <v/>
      </c>
      <c r="E402" s="80">
        <f>IF(B402="","",IFERROR(INDEX('食材の単価'!$G$5:$G$204,MATCH(B402,'食材の単価'!$A$5:$A$204,0)),""))</f>
        <v/>
      </c>
      <c r="F402" s="78">
        <f>IF(AND(ISNUMBER(C402),ISNUMBER(E402)),C402*E402,"")</f>
        <v/>
      </c>
      <c r="G402" s="33" t="n"/>
      <c r="H402" s="34">
        <f>IF(COUNTA(A402:C402,G402)=0,"",IF(TRIM(A402)="","メニュー名がありません",IF(ISNA(MATCH(A402,'メニュー原価率'!$A$8:$A$107,0)),"メニュー原価率に無いメニューです",IF(TRIM(B402)="","食材名がありません",IF(ISNA(MATCH(B402,'食材の単価'!$A$5:$A$204,0)),"食材の単価に無い食材です",IF(NOT(ISNUMBER(C402)),"使用量がありません",IF(NOT(ISNUMBER(E402)),"食材の単価が出ていません（仕入価格・仕入量）","")))))))</f>
        <v/>
      </c>
    </row>
    <row r="403" ht="16" customHeight="1">
      <c r="A403" s="38" t="n"/>
      <c r="B403" s="38" t="n"/>
      <c r="C403" s="39" t="n"/>
      <c r="D403" s="53">
        <f>IF(B403="","",IFERROR(INDEX('食材の単価'!$D$5:$D$204,MATCH(B403,'食材の単価'!$A$5:$A$204,0))&amp;"",""))</f>
        <v/>
      </c>
      <c r="E403" s="80">
        <f>IF(B403="","",IFERROR(INDEX('食材の単価'!$G$5:$G$204,MATCH(B403,'食材の単価'!$A$5:$A$204,0)),""))</f>
        <v/>
      </c>
      <c r="F403" s="78">
        <f>IF(AND(ISNUMBER(C403),ISNUMBER(E403)),C403*E403,"")</f>
        <v/>
      </c>
      <c r="G403" s="33" t="n"/>
      <c r="H403" s="34">
        <f>IF(COUNTA(A403:C403,G403)=0,"",IF(TRIM(A403)="","メニュー名がありません",IF(ISNA(MATCH(A403,'メニュー原価率'!$A$8:$A$107,0)),"メニュー原価率に無いメニューです",IF(TRIM(B403)="","食材名がありません",IF(ISNA(MATCH(B403,'食材の単価'!$A$5:$A$204,0)),"食材の単価に無い食材です",IF(NOT(ISNUMBER(C403)),"使用量がありません",IF(NOT(ISNUMBER(E403)),"食材の単価が出ていません（仕入価格・仕入量）","")))))))</f>
        <v/>
      </c>
    </row>
    <row r="404" ht="16" customHeight="1">
      <c r="A404" s="38" t="n"/>
      <c r="B404" s="38" t="n"/>
      <c r="C404" s="39" t="n"/>
      <c r="D404" s="53">
        <f>IF(B404="","",IFERROR(INDEX('食材の単価'!$D$5:$D$204,MATCH(B404,'食材の単価'!$A$5:$A$204,0))&amp;"",""))</f>
        <v/>
      </c>
      <c r="E404" s="80">
        <f>IF(B404="","",IFERROR(INDEX('食材の単価'!$G$5:$G$204,MATCH(B404,'食材の単価'!$A$5:$A$204,0)),""))</f>
        <v/>
      </c>
      <c r="F404" s="78">
        <f>IF(AND(ISNUMBER(C404),ISNUMBER(E404)),C404*E404,"")</f>
        <v/>
      </c>
      <c r="G404" s="33" t="n"/>
      <c r="H404" s="34">
        <f>IF(COUNTA(A404:C404,G404)=0,"",IF(TRIM(A404)="","メニュー名がありません",IF(ISNA(MATCH(A404,'メニュー原価率'!$A$8:$A$107,0)),"メニュー原価率に無いメニューです",IF(TRIM(B404)="","食材名がありません",IF(ISNA(MATCH(B404,'食材の単価'!$A$5:$A$204,0)),"食材の単価に無い食材です",IF(NOT(ISNUMBER(C404)),"使用量がありません",IF(NOT(ISNUMBER(E404)),"食材の単価が出ていません（仕入価格・仕入量）","")))))))</f>
        <v/>
      </c>
    </row>
    <row r="405" ht="16" customHeight="1">
      <c r="A405" s="38" t="n"/>
      <c r="B405" s="38" t="n"/>
      <c r="C405" s="39" t="n"/>
      <c r="D405" s="53">
        <f>IF(B405="","",IFERROR(INDEX('食材の単価'!$D$5:$D$204,MATCH(B405,'食材の単価'!$A$5:$A$204,0))&amp;"",""))</f>
        <v/>
      </c>
      <c r="E405" s="80">
        <f>IF(B405="","",IFERROR(INDEX('食材の単価'!$G$5:$G$204,MATCH(B405,'食材の単価'!$A$5:$A$204,0)),""))</f>
        <v/>
      </c>
      <c r="F405" s="78">
        <f>IF(AND(ISNUMBER(C405),ISNUMBER(E405)),C405*E405,"")</f>
        <v/>
      </c>
      <c r="G405" s="33" t="n"/>
      <c r="H405" s="34">
        <f>IF(COUNTA(A405:C405,G405)=0,"",IF(TRIM(A405)="","メニュー名がありません",IF(ISNA(MATCH(A405,'メニュー原価率'!$A$8:$A$107,0)),"メニュー原価率に無いメニューです",IF(TRIM(B405)="","食材名がありません",IF(ISNA(MATCH(B405,'食材の単価'!$A$5:$A$204,0)),"食材の単価に無い食材です",IF(NOT(ISNUMBER(C405)),"使用量がありません",IF(NOT(ISNUMBER(E405)),"食材の単価が出ていません（仕入価格・仕入量）","")))))))</f>
        <v/>
      </c>
    </row>
    <row r="406" ht="16" customHeight="1">
      <c r="A406" s="38" t="n"/>
      <c r="B406" s="38" t="n"/>
      <c r="C406" s="39" t="n"/>
      <c r="D406" s="53">
        <f>IF(B406="","",IFERROR(INDEX('食材の単価'!$D$5:$D$204,MATCH(B406,'食材の単価'!$A$5:$A$204,0))&amp;"",""))</f>
        <v/>
      </c>
      <c r="E406" s="80">
        <f>IF(B406="","",IFERROR(INDEX('食材の単価'!$G$5:$G$204,MATCH(B406,'食材の単価'!$A$5:$A$204,0)),""))</f>
        <v/>
      </c>
      <c r="F406" s="78">
        <f>IF(AND(ISNUMBER(C406),ISNUMBER(E406)),C406*E406,"")</f>
        <v/>
      </c>
      <c r="G406" s="33" t="n"/>
      <c r="H406" s="34">
        <f>IF(COUNTA(A406:C406,G406)=0,"",IF(TRIM(A406)="","メニュー名がありません",IF(ISNA(MATCH(A406,'メニュー原価率'!$A$8:$A$107,0)),"メニュー原価率に無いメニューです",IF(TRIM(B406)="","食材名がありません",IF(ISNA(MATCH(B406,'食材の単価'!$A$5:$A$204,0)),"食材の単価に無い食材です",IF(NOT(ISNUMBER(C406)),"使用量がありません",IF(NOT(ISNUMBER(E406)),"食材の単価が出ていません（仕入価格・仕入量）","")))))))</f>
        <v/>
      </c>
    </row>
    <row r="407" ht="16" customHeight="1">
      <c r="A407" s="38" t="n"/>
      <c r="B407" s="38" t="n"/>
      <c r="C407" s="39" t="n"/>
      <c r="D407" s="53">
        <f>IF(B407="","",IFERROR(INDEX('食材の単価'!$D$5:$D$204,MATCH(B407,'食材の単価'!$A$5:$A$204,0))&amp;"",""))</f>
        <v/>
      </c>
      <c r="E407" s="80">
        <f>IF(B407="","",IFERROR(INDEX('食材の単価'!$G$5:$G$204,MATCH(B407,'食材の単価'!$A$5:$A$204,0)),""))</f>
        <v/>
      </c>
      <c r="F407" s="78">
        <f>IF(AND(ISNUMBER(C407),ISNUMBER(E407)),C407*E407,"")</f>
        <v/>
      </c>
      <c r="G407" s="33" t="n"/>
      <c r="H407" s="34">
        <f>IF(COUNTA(A407:C407,G407)=0,"",IF(TRIM(A407)="","メニュー名がありません",IF(ISNA(MATCH(A407,'メニュー原価率'!$A$8:$A$107,0)),"メニュー原価率に無いメニューです",IF(TRIM(B407)="","食材名がありません",IF(ISNA(MATCH(B407,'食材の単価'!$A$5:$A$204,0)),"食材の単価に無い食材です",IF(NOT(ISNUMBER(C407)),"使用量がありません",IF(NOT(ISNUMBER(E407)),"食材の単価が出ていません（仕入価格・仕入量）","")))))))</f>
        <v/>
      </c>
    </row>
    <row r="408" ht="16" customHeight="1">
      <c r="A408" s="38" t="n"/>
      <c r="B408" s="38" t="n"/>
      <c r="C408" s="39" t="n"/>
      <c r="D408" s="53">
        <f>IF(B408="","",IFERROR(INDEX('食材の単価'!$D$5:$D$204,MATCH(B408,'食材の単価'!$A$5:$A$204,0))&amp;"",""))</f>
        <v/>
      </c>
      <c r="E408" s="80">
        <f>IF(B408="","",IFERROR(INDEX('食材の単価'!$G$5:$G$204,MATCH(B408,'食材の単価'!$A$5:$A$204,0)),""))</f>
        <v/>
      </c>
      <c r="F408" s="78">
        <f>IF(AND(ISNUMBER(C408),ISNUMBER(E408)),C408*E408,"")</f>
        <v/>
      </c>
      <c r="G408" s="33" t="n"/>
      <c r="H408" s="34">
        <f>IF(COUNTA(A408:C408,G408)=0,"",IF(TRIM(A408)="","メニュー名がありません",IF(ISNA(MATCH(A408,'メニュー原価率'!$A$8:$A$107,0)),"メニュー原価率に無いメニューです",IF(TRIM(B408)="","食材名がありません",IF(ISNA(MATCH(B408,'食材の単価'!$A$5:$A$204,0)),"食材の単価に無い食材です",IF(NOT(ISNUMBER(C408)),"使用量がありません",IF(NOT(ISNUMBER(E408)),"食材の単価が出ていません（仕入価格・仕入量）","")))))))</f>
        <v/>
      </c>
    </row>
    <row r="409" ht="16" customHeight="1">
      <c r="A409" s="38" t="n"/>
      <c r="B409" s="38" t="n"/>
      <c r="C409" s="39" t="n"/>
      <c r="D409" s="53">
        <f>IF(B409="","",IFERROR(INDEX('食材の単価'!$D$5:$D$204,MATCH(B409,'食材の単価'!$A$5:$A$204,0))&amp;"",""))</f>
        <v/>
      </c>
      <c r="E409" s="80">
        <f>IF(B409="","",IFERROR(INDEX('食材の単価'!$G$5:$G$204,MATCH(B409,'食材の単価'!$A$5:$A$204,0)),""))</f>
        <v/>
      </c>
      <c r="F409" s="78">
        <f>IF(AND(ISNUMBER(C409),ISNUMBER(E409)),C409*E409,"")</f>
        <v/>
      </c>
      <c r="G409" s="33" t="n"/>
      <c r="H409" s="34">
        <f>IF(COUNTA(A409:C409,G409)=0,"",IF(TRIM(A409)="","メニュー名がありません",IF(ISNA(MATCH(A409,'メニュー原価率'!$A$8:$A$107,0)),"メニュー原価率に無いメニューです",IF(TRIM(B409)="","食材名がありません",IF(ISNA(MATCH(B409,'食材の単価'!$A$5:$A$204,0)),"食材の単価に無い食材です",IF(NOT(ISNUMBER(C409)),"使用量がありません",IF(NOT(ISNUMBER(E409)),"食材の単価が出ていません（仕入価格・仕入量）","")))))))</f>
        <v/>
      </c>
    </row>
    <row r="410" ht="16" customHeight="1">
      <c r="A410" s="38" t="n"/>
      <c r="B410" s="38" t="n"/>
      <c r="C410" s="39" t="n"/>
      <c r="D410" s="53">
        <f>IF(B410="","",IFERROR(INDEX('食材の単価'!$D$5:$D$204,MATCH(B410,'食材の単価'!$A$5:$A$204,0))&amp;"",""))</f>
        <v/>
      </c>
      <c r="E410" s="80">
        <f>IF(B410="","",IFERROR(INDEX('食材の単価'!$G$5:$G$204,MATCH(B410,'食材の単価'!$A$5:$A$204,0)),""))</f>
        <v/>
      </c>
      <c r="F410" s="78">
        <f>IF(AND(ISNUMBER(C410),ISNUMBER(E410)),C410*E410,"")</f>
        <v/>
      </c>
      <c r="G410" s="33" t="n"/>
      <c r="H410" s="34">
        <f>IF(COUNTA(A410:C410,G410)=0,"",IF(TRIM(A410)="","メニュー名がありません",IF(ISNA(MATCH(A410,'メニュー原価率'!$A$8:$A$107,0)),"メニュー原価率に無いメニューです",IF(TRIM(B410)="","食材名がありません",IF(ISNA(MATCH(B410,'食材の単価'!$A$5:$A$204,0)),"食材の単価に無い食材です",IF(NOT(ISNUMBER(C410)),"使用量がありません",IF(NOT(ISNUMBER(E410)),"食材の単価が出ていません（仕入価格・仕入量）","")))))))</f>
        <v/>
      </c>
    </row>
    <row r="411" ht="16" customHeight="1">
      <c r="A411" s="38" t="n"/>
      <c r="B411" s="38" t="n"/>
      <c r="C411" s="39" t="n"/>
      <c r="D411" s="53">
        <f>IF(B411="","",IFERROR(INDEX('食材の単価'!$D$5:$D$204,MATCH(B411,'食材の単価'!$A$5:$A$204,0))&amp;"",""))</f>
        <v/>
      </c>
      <c r="E411" s="80">
        <f>IF(B411="","",IFERROR(INDEX('食材の単価'!$G$5:$G$204,MATCH(B411,'食材の単価'!$A$5:$A$204,0)),""))</f>
        <v/>
      </c>
      <c r="F411" s="78">
        <f>IF(AND(ISNUMBER(C411),ISNUMBER(E411)),C411*E411,"")</f>
        <v/>
      </c>
      <c r="G411" s="33" t="n"/>
      <c r="H411" s="34">
        <f>IF(COUNTA(A411:C411,G411)=0,"",IF(TRIM(A411)="","メニュー名がありません",IF(ISNA(MATCH(A411,'メニュー原価率'!$A$8:$A$107,0)),"メニュー原価率に無いメニューです",IF(TRIM(B411)="","食材名がありません",IF(ISNA(MATCH(B411,'食材の単価'!$A$5:$A$204,0)),"食材の単価に無い食材です",IF(NOT(ISNUMBER(C411)),"使用量がありません",IF(NOT(ISNUMBER(E411)),"食材の単価が出ていません（仕入価格・仕入量）","")))))))</f>
        <v/>
      </c>
    </row>
    <row r="412" ht="16" customHeight="1">
      <c r="A412" s="38" t="n"/>
      <c r="B412" s="38" t="n"/>
      <c r="C412" s="39" t="n"/>
      <c r="D412" s="53">
        <f>IF(B412="","",IFERROR(INDEX('食材の単価'!$D$5:$D$204,MATCH(B412,'食材の単価'!$A$5:$A$204,0))&amp;"",""))</f>
        <v/>
      </c>
      <c r="E412" s="80">
        <f>IF(B412="","",IFERROR(INDEX('食材の単価'!$G$5:$G$204,MATCH(B412,'食材の単価'!$A$5:$A$204,0)),""))</f>
        <v/>
      </c>
      <c r="F412" s="78">
        <f>IF(AND(ISNUMBER(C412),ISNUMBER(E412)),C412*E412,"")</f>
        <v/>
      </c>
      <c r="G412" s="33" t="n"/>
      <c r="H412" s="34">
        <f>IF(COUNTA(A412:C412,G412)=0,"",IF(TRIM(A412)="","メニュー名がありません",IF(ISNA(MATCH(A412,'メニュー原価率'!$A$8:$A$107,0)),"メニュー原価率に無いメニューです",IF(TRIM(B412)="","食材名がありません",IF(ISNA(MATCH(B412,'食材の単価'!$A$5:$A$204,0)),"食材の単価に無い食材です",IF(NOT(ISNUMBER(C412)),"使用量がありません",IF(NOT(ISNUMBER(E412)),"食材の単価が出ていません（仕入価格・仕入量）","")))))))</f>
        <v/>
      </c>
    </row>
    <row r="413" ht="16" customHeight="1">
      <c r="A413" s="38" t="n"/>
      <c r="B413" s="38" t="n"/>
      <c r="C413" s="39" t="n"/>
      <c r="D413" s="53">
        <f>IF(B413="","",IFERROR(INDEX('食材の単価'!$D$5:$D$204,MATCH(B413,'食材の単価'!$A$5:$A$204,0))&amp;"",""))</f>
        <v/>
      </c>
      <c r="E413" s="80">
        <f>IF(B413="","",IFERROR(INDEX('食材の単価'!$G$5:$G$204,MATCH(B413,'食材の単価'!$A$5:$A$204,0)),""))</f>
        <v/>
      </c>
      <c r="F413" s="78">
        <f>IF(AND(ISNUMBER(C413),ISNUMBER(E413)),C413*E413,"")</f>
        <v/>
      </c>
      <c r="G413" s="33" t="n"/>
      <c r="H413" s="34">
        <f>IF(COUNTA(A413:C413,G413)=0,"",IF(TRIM(A413)="","メニュー名がありません",IF(ISNA(MATCH(A413,'メニュー原価率'!$A$8:$A$107,0)),"メニュー原価率に無いメニューです",IF(TRIM(B413)="","食材名がありません",IF(ISNA(MATCH(B413,'食材の単価'!$A$5:$A$204,0)),"食材の単価に無い食材です",IF(NOT(ISNUMBER(C413)),"使用量がありません",IF(NOT(ISNUMBER(E413)),"食材の単価が出ていません（仕入価格・仕入量）","")))))))</f>
        <v/>
      </c>
    </row>
    <row r="414" ht="16" customHeight="1">
      <c r="A414" s="38" t="n"/>
      <c r="B414" s="38" t="n"/>
      <c r="C414" s="39" t="n"/>
      <c r="D414" s="53">
        <f>IF(B414="","",IFERROR(INDEX('食材の単価'!$D$5:$D$204,MATCH(B414,'食材の単価'!$A$5:$A$204,0))&amp;"",""))</f>
        <v/>
      </c>
      <c r="E414" s="80">
        <f>IF(B414="","",IFERROR(INDEX('食材の単価'!$G$5:$G$204,MATCH(B414,'食材の単価'!$A$5:$A$204,0)),""))</f>
        <v/>
      </c>
      <c r="F414" s="78">
        <f>IF(AND(ISNUMBER(C414),ISNUMBER(E414)),C414*E414,"")</f>
        <v/>
      </c>
      <c r="G414" s="33" t="n"/>
      <c r="H414" s="34">
        <f>IF(COUNTA(A414:C414,G414)=0,"",IF(TRIM(A414)="","メニュー名がありません",IF(ISNA(MATCH(A414,'メニュー原価率'!$A$8:$A$107,0)),"メニュー原価率に無いメニューです",IF(TRIM(B414)="","食材名がありません",IF(ISNA(MATCH(B414,'食材の単価'!$A$5:$A$204,0)),"食材の単価に無い食材です",IF(NOT(ISNUMBER(C414)),"使用量がありません",IF(NOT(ISNUMBER(E414)),"食材の単価が出ていません（仕入価格・仕入量）","")))))))</f>
        <v/>
      </c>
    </row>
    <row r="415" ht="16" customHeight="1">
      <c r="A415" s="38" t="n"/>
      <c r="B415" s="38" t="n"/>
      <c r="C415" s="39" t="n"/>
      <c r="D415" s="53">
        <f>IF(B415="","",IFERROR(INDEX('食材の単価'!$D$5:$D$204,MATCH(B415,'食材の単価'!$A$5:$A$204,0))&amp;"",""))</f>
        <v/>
      </c>
      <c r="E415" s="80">
        <f>IF(B415="","",IFERROR(INDEX('食材の単価'!$G$5:$G$204,MATCH(B415,'食材の単価'!$A$5:$A$204,0)),""))</f>
        <v/>
      </c>
      <c r="F415" s="78">
        <f>IF(AND(ISNUMBER(C415),ISNUMBER(E415)),C415*E415,"")</f>
        <v/>
      </c>
      <c r="G415" s="33" t="n"/>
      <c r="H415" s="34">
        <f>IF(COUNTA(A415:C415,G415)=0,"",IF(TRIM(A415)="","メニュー名がありません",IF(ISNA(MATCH(A415,'メニュー原価率'!$A$8:$A$107,0)),"メニュー原価率に無いメニューです",IF(TRIM(B415)="","食材名がありません",IF(ISNA(MATCH(B415,'食材の単価'!$A$5:$A$204,0)),"食材の単価に無い食材です",IF(NOT(ISNUMBER(C415)),"使用量がありません",IF(NOT(ISNUMBER(E415)),"食材の単価が出ていません（仕入価格・仕入量）","")))))))</f>
        <v/>
      </c>
    </row>
    <row r="416" ht="16" customHeight="1">
      <c r="A416" s="38" t="n"/>
      <c r="B416" s="38" t="n"/>
      <c r="C416" s="39" t="n"/>
      <c r="D416" s="53">
        <f>IF(B416="","",IFERROR(INDEX('食材の単価'!$D$5:$D$204,MATCH(B416,'食材の単価'!$A$5:$A$204,0))&amp;"",""))</f>
        <v/>
      </c>
      <c r="E416" s="80">
        <f>IF(B416="","",IFERROR(INDEX('食材の単価'!$G$5:$G$204,MATCH(B416,'食材の単価'!$A$5:$A$204,0)),""))</f>
        <v/>
      </c>
      <c r="F416" s="78">
        <f>IF(AND(ISNUMBER(C416),ISNUMBER(E416)),C416*E416,"")</f>
        <v/>
      </c>
      <c r="G416" s="33" t="n"/>
      <c r="H416" s="34">
        <f>IF(COUNTA(A416:C416,G416)=0,"",IF(TRIM(A416)="","メニュー名がありません",IF(ISNA(MATCH(A416,'メニュー原価率'!$A$8:$A$107,0)),"メニュー原価率に無いメニューです",IF(TRIM(B416)="","食材名がありません",IF(ISNA(MATCH(B416,'食材の単価'!$A$5:$A$204,0)),"食材の単価に無い食材です",IF(NOT(ISNUMBER(C416)),"使用量がありません",IF(NOT(ISNUMBER(E416)),"食材の単価が出ていません（仕入価格・仕入量）","")))))))</f>
        <v/>
      </c>
    </row>
    <row r="417" ht="16" customHeight="1">
      <c r="A417" s="38" t="n"/>
      <c r="B417" s="38" t="n"/>
      <c r="C417" s="39" t="n"/>
      <c r="D417" s="53">
        <f>IF(B417="","",IFERROR(INDEX('食材の単価'!$D$5:$D$204,MATCH(B417,'食材の単価'!$A$5:$A$204,0))&amp;"",""))</f>
        <v/>
      </c>
      <c r="E417" s="80">
        <f>IF(B417="","",IFERROR(INDEX('食材の単価'!$G$5:$G$204,MATCH(B417,'食材の単価'!$A$5:$A$204,0)),""))</f>
        <v/>
      </c>
      <c r="F417" s="78">
        <f>IF(AND(ISNUMBER(C417),ISNUMBER(E417)),C417*E417,"")</f>
        <v/>
      </c>
      <c r="G417" s="33" t="n"/>
      <c r="H417" s="34">
        <f>IF(COUNTA(A417:C417,G417)=0,"",IF(TRIM(A417)="","メニュー名がありません",IF(ISNA(MATCH(A417,'メニュー原価率'!$A$8:$A$107,0)),"メニュー原価率に無いメニューです",IF(TRIM(B417)="","食材名がありません",IF(ISNA(MATCH(B417,'食材の単価'!$A$5:$A$204,0)),"食材の単価に無い食材です",IF(NOT(ISNUMBER(C417)),"使用量がありません",IF(NOT(ISNUMBER(E417)),"食材の単価が出ていません（仕入価格・仕入量）","")))))))</f>
        <v/>
      </c>
    </row>
    <row r="418" ht="16" customHeight="1">
      <c r="A418" s="38" t="n"/>
      <c r="B418" s="38" t="n"/>
      <c r="C418" s="39" t="n"/>
      <c r="D418" s="53">
        <f>IF(B418="","",IFERROR(INDEX('食材の単価'!$D$5:$D$204,MATCH(B418,'食材の単価'!$A$5:$A$204,0))&amp;"",""))</f>
        <v/>
      </c>
      <c r="E418" s="80">
        <f>IF(B418="","",IFERROR(INDEX('食材の単価'!$G$5:$G$204,MATCH(B418,'食材の単価'!$A$5:$A$204,0)),""))</f>
        <v/>
      </c>
      <c r="F418" s="78">
        <f>IF(AND(ISNUMBER(C418),ISNUMBER(E418)),C418*E418,"")</f>
        <v/>
      </c>
      <c r="G418" s="33" t="n"/>
      <c r="H418" s="34">
        <f>IF(COUNTA(A418:C418,G418)=0,"",IF(TRIM(A418)="","メニュー名がありません",IF(ISNA(MATCH(A418,'メニュー原価率'!$A$8:$A$107,0)),"メニュー原価率に無いメニューです",IF(TRIM(B418)="","食材名がありません",IF(ISNA(MATCH(B418,'食材の単価'!$A$5:$A$204,0)),"食材の単価に無い食材です",IF(NOT(ISNUMBER(C418)),"使用量がありません",IF(NOT(ISNUMBER(E418)),"食材の単価が出ていません（仕入価格・仕入量）","")))))))</f>
        <v/>
      </c>
    </row>
    <row r="419" ht="16" customHeight="1">
      <c r="A419" s="38" t="n"/>
      <c r="B419" s="38" t="n"/>
      <c r="C419" s="39" t="n"/>
      <c r="D419" s="53">
        <f>IF(B419="","",IFERROR(INDEX('食材の単価'!$D$5:$D$204,MATCH(B419,'食材の単価'!$A$5:$A$204,0))&amp;"",""))</f>
        <v/>
      </c>
      <c r="E419" s="80">
        <f>IF(B419="","",IFERROR(INDEX('食材の単価'!$G$5:$G$204,MATCH(B419,'食材の単価'!$A$5:$A$204,0)),""))</f>
        <v/>
      </c>
      <c r="F419" s="78">
        <f>IF(AND(ISNUMBER(C419),ISNUMBER(E419)),C419*E419,"")</f>
        <v/>
      </c>
      <c r="G419" s="33" t="n"/>
      <c r="H419" s="34">
        <f>IF(COUNTA(A419:C419,G419)=0,"",IF(TRIM(A419)="","メニュー名がありません",IF(ISNA(MATCH(A419,'メニュー原価率'!$A$8:$A$107,0)),"メニュー原価率に無いメニューです",IF(TRIM(B419)="","食材名がありません",IF(ISNA(MATCH(B419,'食材の単価'!$A$5:$A$204,0)),"食材の単価に無い食材です",IF(NOT(ISNUMBER(C419)),"使用量がありません",IF(NOT(ISNUMBER(E419)),"食材の単価が出ていません（仕入価格・仕入量）","")))))))</f>
        <v/>
      </c>
    </row>
    <row r="420" ht="16" customHeight="1">
      <c r="A420" s="38" t="n"/>
      <c r="B420" s="38" t="n"/>
      <c r="C420" s="39" t="n"/>
      <c r="D420" s="53">
        <f>IF(B420="","",IFERROR(INDEX('食材の単価'!$D$5:$D$204,MATCH(B420,'食材の単価'!$A$5:$A$204,0))&amp;"",""))</f>
        <v/>
      </c>
      <c r="E420" s="80">
        <f>IF(B420="","",IFERROR(INDEX('食材の単価'!$G$5:$G$204,MATCH(B420,'食材の単価'!$A$5:$A$204,0)),""))</f>
        <v/>
      </c>
      <c r="F420" s="78">
        <f>IF(AND(ISNUMBER(C420),ISNUMBER(E420)),C420*E420,"")</f>
        <v/>
      </c>
      <c r="G420" s="33" t="n"/>
      <c r="H420" s="34">
        <f>IF(COUNTA(A420:C420,G420)=0,"",IF(TRIM(A420)="","メニュー名がありません",IF(ISNA(MATCH(A420,'メニュー原価率'!$A$8:$A$107,0)),"メニュー原価率に無いメニューです",IF(TRIM(B420)="","食材名がありません",IF(ISNA(MATCH(B420,'食材の単価'!$A$5:$A$204,0)),"食材の単価に無い食材です",IF(NOT(ISNUMBER(C420)),"使用量がありません",IF(NOT(ISNUMBER(E420)),"食材の単価が出ていません（仕入価格・仕入量）","")))))))</f>
        <v/>
      </c>
    </row>
    <row r="421" ht="16" customHeight="1">
      <c r="A421" s="38" t="n"/>
      <c r="B421" s="38" t="n"/>
      <c r="C421" s="39" t="n"/>
      <c r="D421" s="53">
        <f>IF(B421="","",IFERROR(INDEX('食材の単価'!$D$5:$D$204,MATCH(B421,'食材の単価'!$A$5:$A$204,0))&amp;"",""))</f>
        <v/>
      </c>
      <c r="E421" s="80">
        <f>IF(B421="","",IFERROR(INDEX('食材の単価'!$G$5:$G$204,MATCH(B421,'食材の単価'!$A$5:$A$204,0)),""))</f>
        <v/>
      </c>
      <c r="F421" s="78">
        <f>IF(AND(ISNUMBER(C421),ISNUMBER(E421)),C421*E421,"")</f>
        <v/>
      </c>
      <c r="G421" s="33" t="n"/>
      <c r="H421" s="34">
        <f>IF(COUNTA(A421:C421,G421)=0,"",IF(TRIM(A421)="","メニュー名がありません",IF(ISNA(MATCH(A421,'メニュー原価率'!$A$8:$A$107,0)),"メニュー原価率に無いメニューです",IF(TRIM(B421)="","食材名がありません",IF(ISNA(MATCH(B421,'食材の単価'!$A$5:$A$204,0)),"食材の単価に無い食材です",IF(NOT(ISNUMBER(C421)),"使用量がありません",IF(NOT(ISNUMBER(E421)),"食材の単価が出ていません（仕入価格・仕入量）","")))))))</f>
        <v/>
      </c>
    </row>
    <row r="422" ht="16" customHeight="1">
      <c r="A422" s="38" t="n"/>
      <c r="B422" s="38" t="n"/>
      <c r="C422" s="39" t="n"/>
      <c r="D422" s="53">
        <f>IF(B422="","",IFERROR(INDEX('食材の単価'!$D$5:$D$204,MATCH(B422,'食材の単価'!$A$5:$A$204,0))&amp;"",""))</f>
        <v/>
      </c>
      <c r="E422" s="80">
        <f>IF(B422="","",IFERROR(INDEX('食材の単価'!$G$5:$G$204,MATCH(B422,'食材の単価'!$A$5:$A$204,0)),""))</f>
        <v/>
      </c>
      <c r="F422" s="78">
        <f>IF(AND(ISNUMBER(C422),ISNUMBER(E422)),C422*E422,"")</f>
        <v/>
      </c>
      <c r="G422" s="33" t="n"/>
      <c r="H422" s="34">
        <f>IF(COUNTA(A422:C422,G422)=0,"",IF(TRIM(A422)="","メニュー名がありません",IF(ISNA(MATCH(A422,'メニュー原価率'!$A$8:$A$107,0)),"メニュー原価率に無いメニューです",IF(TRIM(B422)="","食材名がありません",IF(ISNA(MATCH(B422,'食材の単価'!$A$5:$A$204,0)),"食材の単価に無い食材です",IF(NOT(ISNUMBER(C422)),"使用量がありません",IF(NOT(ISNUMBER(E422)),"食材の単価が出ていません（仕入価格・仕入量）","")))))))</f>
        <v/>
      </c>
    </row>
    <row r="423" ht="16" customHeight="1">
      <c r="A423" s="38" t="n"/>
      <c r="B423" s="38" t="n"/>
      <c r="C423" s="39" t="n"/>
      <c r="D423" s="53">
        <f>IF(B423="","",IFERROR(INDEX('食材の単価'!$D$5:$D$204,MATCH(B423,'食材の単価'!$A$5:$A$204,0))&amp;"",""))</f>
        <v/>
      </c>
      <c r="E423" s="80">
        <f>IF(B423="","",IFERROR(INDEX('食材の単価'!$G$5:$G$204,MATCH(B423,'食材の単価'!$A$5:$A$204,0)),""))</f>
        <v/>
      </c>
      <c r="F423" s="78">
        <f>IF(AND(ISNUMBER(C423),ISNUMBER(E423)),C423*E423,"")</f>
        <v/>
      </c>
      <c r="G423" s="33" t="n"/>
      <c r="H423" s="34">
        <f>IF(COUNTA(A423:C423,G423)=0,"",IF(TRIM(A423)="","メニュー名がありません",IF(ISNA(MATCH(A423,'メニュー原価率'!$A$8:$A$107,0)),"メニュー原価率に無いメニューです",IF(TRIM(B423)="","食材名がありません",IF(ISNA(MATCH(B423,'食材の単価'!$A$5:$A$204,0)),"食材の単価に無い食材です",IF(NOT(ISNUMBER(C423)),"使用量がありません",IF(NOT(ISNUMBER(E423)),"食材の単価が出ていません（仕入価格・仕入量）","")))))))</f>
        <v/>
      </c>
    </row>
    <row r="424" ht="16" customHeight="1">
      <c r="A424" s="38" t="n"/>
      <c r="B424" s="38" t="n"/>
      <c r="C424" s="39" t="n"/>
      <c r="D424" s="53">
        <f>IF(B424="","",IFERROR(INDEX('食材の単価'!$D$5:$D$204,MATCH(B424,'食材の単価'!$A$5:$A$204,0))&amp;"",""))</f>
        <v/>
      </c>
      <c r="E424" s="80">
        <f>IF(B424="","",IFERROR(INDEX('食材の単価'!$G$5:$G$204,MATCH(B424,'食材の単価'!$A$5:$A$204,0)),""))</f>
        <v/>
      </c>
      <c r="F424" s="78">
        <f>IF(AND(ISNUMBER(C424),ISNUMBER(E424)),C424*E424,"")</f>
        <v/>
      </c>
      <c r="G424" s="33" t="n"/>
      <c r="H424" s="34">
        <f>IF(COUNTA(A424:C424,G424)=0,"",IF(TRIM(A424)="","メニュー名がありません",IF(ISNA(MATCH(A424,'メニュー原価率'!$A$8:$A$107,0)),"メニュー原価率に無いメニューです",IF(TRIM(B424)="","食材名がありません",IF(ISNA(MATCH(B424,'食材の単価'!$A$5:$A$204,0)),"食材の単価に無い食材です",IF(NOT(ISNUMBER(C424)),"使用量がありません",IF(NOT(ISNUMBER(E424)),"食材の単価が出ていません（仕入価格・仕入量）","")))))))</f>
        <v/>
      </c>
    </row>
    <row r="425" ht="16" customHeight="1">
      <c r="A425" s="38" t="n"/>
      <c r="B425" s="38" t="n"/>
      <c r="C425" s="39" t="n"/>
      <c r="D425" s="53">
        <f>IF(B425="","",IFERROR(INDEX('食材の単価'!$D$5:$D$204,MATCH(B425,'食材の単価'!$A$5:$A$204,0))&amp;"",""))</f>
        <v/>
      </c>
      <c r="E425" s="80">
        <f>IF(B425="","",IFERROR(INDEX('食材の単価'!$G$5:$G$204,MATCH(B425,'食材の単価'!$A$5:$A$204,0)),""))</f>
        <v/>
      </c>
      <c r="F425" s="78">
        <f>IF(AND(ISNUMBER(C425),ISNUMBER(E425)),C425*E425,"")</f>
        <v/>
      </c>
      <c r="G425" s="33" t="n"/>
      <c r="H425" s="34">
        <f>IF(COUNTA(A425:C425,G425)=0,"",IF(TRIM(A425)="","メニュー名がありません",IF(ISNA(MATCH(A425,'メニュー原価率'!$A$8:$A$107,0)),"メニュー原価率に無いメニューです",IF(TRIM(B425)="","食材名がありません",IF(ISNA(MATCH(B425,'食材の単価'!$A$5:$A$204,0)),"食材の単価に無い食材です",IF(NOT(ISNUMBER(C425)),"使用量がありません",IF(NOT(ISNUMBER(E425)),"食材の単価が出ていません（仕入価格・仕入量）","")))))))</f>
        <v/>
      </c>
    </row>
    <row r="426" ht="16" customHeight="1">
      <c r="A426" s="38" t="n"/>
      <c r="B426" s="38" t="n"/>
      <c r="C426" s="39" t="n"/>
      <c r="D426" s="53">
        <f>IF(B426="","",IFERROR(INDEX('食材の単価'!$D$5:$D$204,MATCH(B426,'食材の単価'!$A$5:$A$204,0))&amp;"",""))</f>
        <v/>
      </c>
      <c r="E426" s="80">
        <f>IF(B426="","",IFERROR(INDEX('食材の単価'!$G$5:$G$204,MATCH(B426,'食材の単価'!$A$5:$A$204,0)),""))</f>
        <v/>
      </c>
      <c r="F426" s="78">
        <f>IF(AND(ISNUMBER(C426),ISNUMBER(E426)),C426*E426,"")</f>
        <v/>
      </c>
      <c r="G426" s="33" t="n"/>
      <c r="H426" s="34">
        <f>IF(COUNTA(A426:C426,G426)=0,"",IF(TRIM(A426)="","メニュー名がありません",IF(ISNA(MATCH(A426,'メニュー原価率'!$A$8:$A$107,0)),"メニュー原価率に無いメニューです",IF(TRIM(B426)="","食材名がありません",IF(ISNA(MATCH(B426,'食材の単価'!$A$5:$A$204,0)),"食材の単価に無い食材です",IF(NOT(ISNUMBER(C426)),"使用量がありません",IF(NOT(ISNUMBER(E426)),"食材の単価が出ていません（仕入価格・仕入量）","")))))))</f>
        <v/>
      </c>
    </row>
    <row r="427" ht="16" customHeight="1">
      <c r="A427" s="38" t="n"/>
      <c r="B427" s="38" t="n"/>
      <c r="C427" s="39" t="n"/>
      <c r="D427" s="53">
        <f>IF(B427="","",IFERROR(INDEX('食材の単価'!$D$5:$D$204,MATCH(B427,'食材の単価'!$A$5:$A$204,0))&amp;"",""))</f>
        <v/>
      </c>
      <c r="E427" s="80">
        <f>IF(B427="","",IFERROR(INDEX('食材の単価'!$G$5:$G$204,MATCH(B427,'食材の単価'!$A$5:$A$204,0)),""))</f>
        <v/>
      </c>
      <c r="F427" s="78">
        <f>IF(AND(ISNUMBER(C427),ISNUMBER(E427)),C427*E427,"")</f>
        <v/>
      </c>
      <c r="G427" s="33" t="n"/>
      <c r="H427" s="34">
        <f>IF(COUNTA(A427:C427,G427)=0,"",IF(TRIM(A427)="","メニュー名がありません",IF(ISNA(MATCH(A427,'メニュー原価率'!$A$8:$A$107,0)),"メニュー原価率に無いメニューです",IF(TRIM(B427)="","食材名がありません",IF(ISNA(MATCH(B427,'食材の単価'!$A$5:$A$204,0)),"食材の単価に無い食材です",IF(NOT(ISNUMBER(C427)),"使用量がありません",IF(NOT(ISNUMBER(E427)),"食材の単価が出ていません（仕入価格・仕入量）","")))))))</f>
        <v/>
      </c>
    </row>
    <row r="428" ht="16" customHeight="1">
      <c r="A428" s="38" t="n"/>
      <c r="B428" s="38" t="n"/>
      <c r="C428" s="39" t="n"/>
      <c r="D428" s="53">
        <f>IF(B428="","",IFERROR(INDEX('食材の単価'!$D$5:$D$204,MATCH(B428,'食材の単価'!$A$5:$A$204,0))&amp;"",""))</f>
        <v/>
      </c>
      <c r="E428" s="80">
        <f>IF(B428="","",IFERROR(INDEX('食材の単価'!$G$5:$G$204,MATCH(B428,'食材の単価'!$A$5:$A$204,0)),""))</f>
        <v/>
      </c>
      <c r="F428" s="78">
        <f>IF(AND(ISNUMBER(C428),ISNUMBER(E428)),C428*E428,"")</f>
        <v/>
      </c>
      <c r="G428" s="33" t="n"/>
      <c r="H428" s="34">
        <f>IF(COUNTA(A428:C428,G428)=0,"",IF(TRIM(A428)="","メニュー名がありません",IF(ISNA(MATCH(A428,'メニュー原価率'!$A$8:$A$107,0)),"メニュー原価率に無いメニューです",IF(TRIM(B428)="","食材名がありません",IF(ISNA(MATCH(B428,'食材の単価'!$A$5:$A$204,0)),"食材の単価に無い食材です",IF(NOT(ISNUMBER(C428)),"使用量がありません",IF(NOT(ISNUMBER(E428)),"食材の単価が出ていません（仕入価格・仕入量）","")))))))</f>
        <v/>
      </c>
    </row>
    <row r="429" ht="16" customHeight="1">
      <c r="A429" s="38" t="n"/>
      <c r="B429" s="38" t="n"/>
      <c r="C429" s="39" t="n"/>
      <c r="D429" s="53">
        <f>IF(B429="","",IFERROR(INDEX('食材の単価'!$D$5:$D$204,MATCH(B429,'食材の単価'!$A$5:$A$204,0))&amp;"",""))</f>
        <v/>
      </c>
      <c r="E429" s="80">
        <f>IF(B429="","",IFERROR(INDEX('食材の単価'!$G$5:$G$204,MATCH(B429,'食材の単価'!$A$5:$A$204,0)),""))</f>
        <v/>
      </c>
      <c r="F429" s="78">
        <f>IF(AND(ISNUMBER(C429),ISNUMBER(E429)),C429*E429,"")</f>
        <v/>
      </c>
      <c r="G429" s="33" t="n"/>
      <c r="H429" s="34">
        <f>IF(COUNTA(A429:C429,G429)=0,"",IF(TRIM(A429)="","メニュー名がありません",IF(ISNA(MATCH(A429,'メニュー原価率'!$A$8:$A$107,0)),"メニュー原価率に無いメニューです",IF(TRIM(B429)="","食材名がありません",IF(ISNA(MATCH(B429,'食材の単価'!$A$5:$A$204,0)),"食材の単価に無い食材です",IF(NOT(ISNUMBER(C429)),"使用量がありません",IF(NOT(ISNUMBER(E429)),"食材の単価が出ていません（仕入価格・仕入量）","")))))))</f>
        <v/>
      </c>
    </row>
    <row r="430" ht="16" customHeight="1">
      <c r="A430" s="38" t="n"/>
      <c r="B430" s="38" t="n"/>
      <c r="C430" s="39" t="n"/>
      <c r="D430" s="53">
        <f>IF(B430="","",IFERROR(INDEX('食材の単価'!$D$5:$D$204,MATCH(B430,'食材の単価'!$A$5:$A$204,0))&amp;"",""))</f>
        <v/>
      </c>
      <c r="E430" s="80">
        <f>IF(B430="","",IFERROR(INDEX('食材の単価'!$G$5:$G$204,MATCH(B430,'食材の単価'!$A$5:$A$204,0)),""))</f>
        <v/>
      </c>
      <c r="F430" s="78">
        <f>IF(AND(ISNUMBER(C430),ISNUMBER(E430)),C430*E430,"")</f>
        <v/>
      </c>
      <c r="G430" s="33" t="n"/>
      <c r="H430" s="34">
        <f>IF(COUNTA(A430:C430,G430)=0,"",IF(TRIM(A430)="","メニュー名がありません",IF(ISNA(MATCH(A430,'メニュー原価率'!$A$8:$A$107,0)),"メニュー原価率に無いメニューです",IF(TRIM(B430)="","食材名がありません",IF(ISNA(MATCH(B430,'食材の単価'!$A$5:$A$204,0)),"食材の単価に無い食材です",IF(NOT(ISNUMBER(C430)),"使用量がありません",IF(NOT(ISNUMBER(E430)),"食材の単価が出ていません（仕入価格・仕入量）","")))))))</f>
        <v/>
      </c>
    </row>
    <row r="431" ht="16" customHeight="1">
      <c r="A431" s="38" t="n"/>
      <c r="B431" s="38" t="n"/>
      <c r="C431" s="39" t="n"/>
      <c r="D431" s="53">
        <f>IF(B431="","",IFERROR(INDEX('食材の単価'!$D$5:$D$204,MATCH(B431,'食材の単価'!$A$5:$A$204,0))&amp;"",""))</f>
        <v/>
      </c>
      <c r="E431" s="80">
        <f>IF(B431="","",IFERROR(INDEX('食材の単価'!$G$5:$G$204,MATCH(B431,'食材の単価'!$A$5:$A$204,0)),""))</f>
        <v/>
      </c>
      <c r="F431" s="78">
        <f>IF(AND(ISNUMBER(C431),ISNUMBER(E431)),C431*E431,"")</f>
        <v/>
      </c>
      <c r="G431" s="33" t="n"/>
      <c r="H431" s="34">
        <f>IF(COUNTA(A431:C431,G431)=0,"",IF(TRIM(A431)="","メニュー名がありません",IF(ISNA(MATCH(A431,'メニュー原価率'!$A$8:$A$107,0)),"メニュー原価率に無いメニューです",IF(TRIM(B431)="","食材名がありません",IF(ISNA(MATCH(B431,'食材の単価'!$A$5:$A$204,0)),"食材の単価に無い食材です",IF(NOT(ISNUMBER(C431)),"使用量がありません",IF(NOT(ISNUMBER(E431)),"食材の単価が出ていません（仕入価格・仕入量）","")))))))</f>
        <v/>
      </c>
    </row>
    <row r="432" ht="16" customHeight="1">
      <c r="A432" s="38" t="n"/>
      <c r="B432" s="38" t="n"/>
      <c r="C432" s="39" t="n"/>
      <c r="D432" s="53">
        <f>IF(B432="","",IFERROR(INDEX('食材の単価'!$D$5:$D$204,MATCH(B432,'食材の単価'!$A$5:$A$204,0))&amp;"",""))</f>
        <v/>
      </c>
      <c r="E432" s="80">
        <f>IF(B432="","",IFERROR(INDEX('食材の単価'!$G$5:$G$204,MATCH(B432,'食材の単価'!$A$5:$A$204,0)),""))</f>
        <v/>
      </c>
      <c r="F432" s="78">
        <f>IF(AND(ISNUMBER(C432),ISNUMBER(E432)),C432*E432,"")</f>
        <v/>
      </c>
      <c r="G432" s="33" t="n"/>
      <c r="H432" s="34">
        <f>IF(COUNTA(A432:C432,G432)=0,"",IF(TRIM(A432)="","メニュー名がありません",IF(ISNA(MATCH(A432,'メニュー原価率'!$A$8:$A$107,0)),"メニュー原価率に無いメニューです",IF(TRIM(B432)="","食材名がありません",IF(ISNA(MATCH(B432,'食材の単価'!$A$5:$A$204,0)),"食材の単価に無い食材です",IF(NOT(ISNUMBER(C432)),"使用量がありません",IF(NOT(ISNUMBER(E432)),"食材の単価が出ていません（仕入価格・仕入量）","")))))))</f>
        <v/>
      </c>
    </row>
    <row r="433" ht="16" customHeight="1">
      <c r="A433" s="38" t="n"/>
      <c r="B433" s="38" t="n"/>
      <c r="C433" s="39" t="n"/>
      <c r="D433" s="53">
        <f>IF(B433="","",IFERROR(INDEX('食材の単価'!$D$5:$D$204,MATCH(B433,'食材の単価'!$A$5:$A$204,0))&amp;"",""))</f>
        <v/>
      </c>
      <c r="E433" s="80">
        <f>IF(B433="","",IFERROR(INDEX('食材の単価'!$G$5:$G$204,MATCH(B433,'食材の単価'!$A$5:$A$204,0)),""))</f>
        <v/>
      </c>
      <c r="F433" s="78">
        <f>IF(AND(ISNUMBER(C433),ISNUMBER(E433)),C433*E433,"")</f>
        <v/>
      </c>
      <c r="G433" s="33" t="n"/>
      <c r="H433" s="34">
        <f>IF(COUNTA(A433:C433,G433)=0,"",IF(TRIM(A433)="","メニュー名がありません",IF(ISNA(MATCH(A433,'メニュー原価率'!$A$8:$A$107,0)),"メニュー原価率に無いメニューです",IF(TRIM(B433)="","食材名がありません",IF(ISNA(MATCH(B433,'食材の単価'!$A$5:$A$204,0)),"食材の単価に無い食材です",IF(NOT(ISNUMBER(C433)),"使用量がありません",IF(NOT(ISNUMBER(E433)),"食材の単価が出ていません（仕入価格・仕入量）","")))))))</f>
        <v/>
      </c>
    </row>
    <row r="434" ht="16" customHeight="1">
      <c r="A434" s="38" t="n"/>
      <c r="B434" s="38" t="n"/>
      <c r="C434" s="39" t="n"/>
      <c r="D434" s="53">
        <f>IF(B434="","",IFERROR(INDEX('食材の単価'!$D$5:$D$204,MATCH(B434,'食材の単価'!$A$5:$A$204,0))&amp;"",""))</f>
        <v/>
      </c>
      <c r="E434" s="80">
        <f>IF(B434="","",IFERROR(INDEX('食材の単価'!$G$5:$G$204,MATCH(B434,'食材の単価'!$A$5:$A$204,0)),""))</f>
        <v/>
      </c>
      <c r="F434" s="78">
        <f>IF(AND(ISNUMBER(C434),ISNUMBER(E434)),C434*E434,"")</f>
        <v/>
      </c>
      <c r="G434" s="33" t="n"/>
      <c r="H434" s="34">
        <f>IF(COUNTA(A434:C434,G434)=0,"",IF(TRIM(A434)="","メニュー名がありません",IF(ISNA(MATCH(A434,'メニュー原価率'!$A$8:$A$107,0)),"メニュー原価率に無いメニューです",IF(TRIM(B434)="","食材名がありません",IF(ISNA(MATCH(B434,'食材の単価'!$A$5:$A$204,0)),"食材の単価に無い食材です",IF(NOT(ISNUMBER(C434)),"使用量がありません",IF(NOT(ISNUMBER(E434)),"食材の単価が出ていません（仕入価格・仕入量）","")))))))</f>
        <v/>
      </c>
    </row>
    <row r="435" ht="16" customHeight="1">
      <c r="A435" s="38" t="n"/>
      <c r="B435" s="38" t="n"/>
      <c r="C435" s="39" t="n"/>
      <c r="D435" s="53">
        <f>IF(B435="","",IFERROR(INDEX('食材の単価'!$D$5:$D$204,MATCH(B435,'食材の単価'!$A$5:$A$204,0))&amp;"",""))</f>
        <v/>
      </c>
      <c r="E435" s="80">
        <f>IF(B435="","",IFERROR(INDEX('食材の単価'!$G$5:$G$204,MATCH(B435,'食材の単価'!$A$5:$A$204,0)),""))</f>
        <v/>
      </c>
      <c r="F435" s="78">
        <f>IF(AND(ISNUMBER(C435),ISNUMBER(E435)),C435*E435,"")</f>
        <v/>
      </c>
      <c r="G435" s="33" t="n"/>
      <c r="H435" s="34">
        <f>IF(COUNTA(A435:C435,G435)=0,"",IF(TRIM(A435)="","メニュー名がありません",IF(ISNA(MATCH(A435,'メニュー原価率'!$A$8:$A$107,0)),"メニュー原価率に無いメニューです",IF(TRIM(B435)="","食材名がありません",IF(ISNA(MATCH(B435,'食材の単価'!$A$5:$A$204,0)),"食材の単価に無い食材です",IF(NOT(ISNUMBER(C435)),"使用量がありません",IF(NOT(ISNUMBER(E435)),"食材の単価が出ていません（仕入価格・仕入量）","")))))))</f>
        <v/>
      </c>
    </row>
    <row r="436" ht="16" customHeight="1">
      <c r="A436" s="38" t="n"/>
      <c r="B436" s="38" t="n"/>
      <c r="C436" s="39" t="n"/>
      <c r="D436" s="53">
        <f>IF(B436="","",IFERROR(INDEX('食材の単価'!$D$5:$D$204,MATCH(B436,'食材の単価'!$A$5:$A$204,0))&amp;"",""))</f>
        <v/>
      </c>
      <c r="E436" s="80">
        <f>IF(B436="","",IFERROR(INDEX('食材の単価'!$G$5:$G$204,MATCH(B436,'食材の単価'!$A$5:$A$204,0)),""))</f>
        <v/>
      </c>
      <c r="F436" s="78">
        <f>IF(AND(ISNUMBER(C436),ISNUMBER(E436)),C436*E436,"")</f>
        <v/>
      </c>
      <c r="G436" s="33" t="n"/>
      <c r="H436" s="34">
        <f>IF(COUNTA(A436:C436,G436)=0,"",IF(TRIM(A436)="","メニュー名がありません",IF(ISNA(MATCH(A436,'メニュー原価率'!$A$8:$A$107,0)),"メニュー原価率に無いメニューです",IF(TRIM(B436)="","食材名がありません",IF(ISNA(MATCH(B436,'食材の単価'!$A$5:$A$204,0)),"食材の単価に無い食材です",IF(NOT(ISNUMBER(C436)),"使用量がありません",IF(NOT(ISNUMBER(E436)),"食材の単価が出ていません（仕入価格・仕入量）","")))))))</f>
        <v/>
      </c>
    </row>
    <row r="437" ht="16" customHeight="1">
      <c r="A437" s="38" t="n"/>
      <c r="B437" s="38" t="n"/>
      <c r="C437" s="39" t="n"/>
      <c r="D437" s="53">
        <f>IF(B437="","",IFERROR(INDEX('食材の単価'!$D$5:$D$204,MATCH(B437,'食材の単価'!$A$5:$A$204,0))&amp;"",""))</f>
        <v/>
      </c>
      <c r="E437" s="80">
        <f>IF(B437="","",IFERROR(INDEX('食材の単価'!$G$5:$G$204,MATCH(B437,'食材の単価'!$A$5:$A$204,0)),""))</f>
        <v/>
      </c>
      <c r="F437" s="78">
        <f>IF(AND(ISNUMBER(C437),ISNUMBER(E437)),C437*E437,"")</f>
        <v/>
      </c>
      <c r="G437" s="33" t="n"/>
      <c r="H437" s="34">
        <f>IF(COUNTA(A437:C437,G437)=0,"",IF(TRIM(A437)="","メニュー名がありません",IF(ISNA(MATCH(A437,'メニュー原価率'!$A$8:$A$107,0)),"メニュー原価率に無いメニューです",IF(TRIM(B437)="","食材名がありません",IF(ISNA(MATCH(B437,'食材の単価'!$A$5:$A$204,0)),"食材の単価に無い食材です",IF(NOT(ISNUMBER(C437)),"使用量がありません",IF(NOT(ISNUMBER(E437)),"食材の単価が出ていません（仕入価格・仕入量）","")))))))</f>
        <v/>
      </c>
    </row>
    <row r="438" ht="16" customHeight="1">
      <c r="A438" s="38" t="n"/>
      <c r="B438" s="38" t="n"/>
      <c r="C438" s="39" t="n"/>
      <c r="D438" s="53">
        <f>IF(B438="","",IFERROR(INDEX('食材の単価'!$D$5:$D$204,MATCH(B438,'食材の単価'!$A$5:$A$204,0))&amp;"",""))</f>
        <v/>
      </c>
      <c r="E438" s="80">
        <f>IF(B438="","",IFERROR(INDEX('食材の単価'!$G$5:$G$204,MATCH(B438,'食材の単価'!$A$5:$A$204,0)),""))</f>
        <v/>
      </c>
      <c r="F438" s="78">
        <f>IF(AND(ISNUMBER(C438),ISNUMBER(E438)),C438*E438,"")</f>
        <v/>
      </c>
      <c r="G438" s="33" t="n"/>
      <c r="H438" s="34">
        <f>IF(COUNTA(A438:C438,G438)=0,"",IF(TRIM(A438)="","メニュー名がありません",IF(ISNA(MATCH(A438,'メニュー原価率'!$A$8:$A$107,0)),"メニュー原価率に無いメニューです",IF(TRIM(B438)="","食材名がありません",IF(ISNA(MATCH(B438,'食材の単価'!$A$5:$A$204,0)),"食材の単価に無い食材です",IF(NOT(ISNUMBER(C438)),"使用量がありません",IF(NOT(ISNUMBER(E438)),"食材の単価が出ていません（仕入価格・仕入量）","")))))))</f>
        <v/>
      </c>
    </row>
    <row r="439" ht="16" customHeight="1">
      <c r="A439" s="38" t="n"/>
      <c r="B439" s="38" t="n"/>
      <c r="C439" s="39" t="n"/>
      <c r="D439" s="53">
        <f>IF(B439="","",IFERROR(INDEX('食材の単価'!$D$5:$D$204,MATCH(B439,'食材の単価'!$A$5:$A$204,0))&amp;"",""))</f>
        <v/>
      </c>
      <c r="E439" s="80">
        <f>IF(B439="","",IFERROR(INDEX('食材の単価'!$G$5:$G$204,MATCH(B439,'食材の単価'!$A$5:$A$204,0)),""))</f>
        <v/>
      </c>
      <c r="F439" s="78">
        <f>IF(AND(ISNUMBER(C439),ISNUMBER(E439)),C439*E439,"")</f>
        <v/>
      </c>
      <c r="G439" s="33" t="n"/>
      <c r="H439" s="34">
        <f>IF(COUNTA(A439:C439,G439)=0,"",IF(TRIM(A439)="","メニュー名がありません",IF(ISNA(MATCH(A439,'メニュー原価率'!$A$8:$A$107,0)),"メニュー原価率に無いメニューです",IF(TRIM(B439)="","食材名がありません",IF(ISNA(MATCH(B439,'食材の単価'!$A$5:$A$204,0)),"食材の単価に無い食材です",IF(NOT(ISNUMBER(C439)),"使用量がありません",IF(NOT(ISNUMBER(E439)),"食材の単価が出ていません（仕入価格・仕入量）","")))))))</f>
        <v/>
      </c>
    </row>
    <row r="440" ht="16" customHeight="1">
      <c r="A440" s="38" t="n"/>
      <c r="B440" s="38" t="n"/>
      <c r="C440" s="39" t="n"/>
      <c r="D440" s="53">
        <f>IF(B440="","",IFERROR(INDEX('食材の単価'!$D$5:$D$204,MATCH(B440,'食材の単価'!$A$5:$A$204,0))&amp;"",""))</f>
        <v/>
      </c>
      <c r="E440" s="80">
        <f>IF(B440="","",IFERROR(INDEX('食材の単価'!$G$5:$G$204,MATCH(B440,'食材の単価'!$A$5:$A$204,0)),""))</f>
        <v/>
      </c>
      <c r="F440" s="78">
        <f>IF(AND(ISNUMBER(C440),ISNUMBER(E440)),C440*E440,"")</f>
        <v/>
      </c>
      <c r="G440" s="33" t="n"/>
      <c r="H440" s="34">
        <f>IF(COUNTA(A440:C440,G440)=0,"",IF(TRIM(A440)="","メニュー名がありません",IF(ISNA(MATCH(A440,'メニュー原価率'!$A$8:$A$107,0)),"メニュー原価率に無いメニューです",IF(TRIM(B440)="","食材名がありません",IF(ISNA(MATCH(B440,'食材の単価'!$A$5:$A$204,0)),"食材の単価に無い食材です",IF(NOT(ISNUMBER(C440)),"使用量がありません",IF(NOT(ISNUMBER(E440)),"食材の単価が出ていません（仕入価格・仕入量）","")))))))</f>
        <v/>
      </c>
    </row>
    <row r="441" ht="16" customHeight="1">
      <c r="A441" s="38" t="n"/>
      <c r="B441" s="38" t="n"/>
      <c r="C441" s="39" t="n"/>
      <c r="D441" s="53">
        <f>IF(B441="","",IFERROR(INDEX('食材の単価'!$D$5:$D$204,MATCH(B441,'食材の単価'!$A$5:$A$204,0))&amp;"",""))</f>
        <v/>
      </c>
      <c r="E441" s="80">
        <f>IF(B441="","",IFERROR(INDEX('食材の単価'!$G$5:$G$204,MATCH(B441,'食材の単価'!$A$5:$A$204,0)),""))</f>
        <v/>
      </c>
      <c r="F441" s="78">
        <f>IF(AND(ISNUMBER(C441),ISNUMBER(E441)),C441*E441,"")</f>
        <v/>
      </c>
      <c r="G441" s="33" t="n"/>
      <c r="H441" s="34">
        <f>IF(COUNTA(A441:C441,G441)=0,"",IF(TRIM(A441)="","メニュー名がありません",IF(ISNA(MATCH(A441,'メニュー原価率'!$A$8:$A$107,0)),"メニュー原価率に無いメニューです",IF(TRIM(B441)="","食材名がありません",IF(ISNA(MATCH(B441,'食材の単価'!$A$5:$A$204,0)),"食材の単価に無い食材です",IF(NOT(ISNUMBER(C441)),"使用量がありません",IF(NOT(ISNUMBER(E441)),"食材の単価が出ていません（仕入価格・仕入量）","")))))))</f>
        <v/>
      </c>
    </row>
    <row r="442" ht="16" customHeight="1">
      <c r="A442" s="38" t="n"/>
      <c r="B442" s="38" t="n"/>
      <c r="C442" s="39" t="n"/>
      <c r="D442" s="53">
        <f>IF(B442="","",IFERROR(INDEX('食材の単価'!$D$5:$D$204,MATCH(B442,'食材の単価'!$A$5:$A$204,0))&amp;"",""))</f>
        <v/>
      </c>
      <c r="E442" s="80">
        <f>IF(B442="","",IFERROR(INDEX('食材の単価'!$G$5:$G$204,MATCH(B442,'食材の単価'!$A$5:$A$204,0)),""))</f>
        <v/>
      </c>
      <c r="F442" s="78">
        <f>IF(AND(ISNUMBER(C442),ISNUMBER(E442)),C442*E442,"")</f>
        <v/>
      </c>
      <c r="G442" s="33" t="n"/>
      <c r="H442" s="34">
        <f>IF(COUNTA(A442:C442,G442)=0,"",IF(TRIM(A442)="","メニュー名がありません",IF(ISNA(MATCH(A442,'メニュー原価率'!$A$8:$A$107,0)),"メニュー原価率に無いメニューです",IF(TRIM(B442)="","食材名がありません",IF(ISNA(MATCH(B442,'食材の単価'!$A$5:$A$204,0)),"食材の単価に無い食材です",IF(NOT(ISNUMBER(C442)),"使用量がありません",IF(NOT(ISNUMBER(E442)),"食材の単価が出ていません（仕入価格・仕入量）","")))))))</f>
        <v/>
      </c>
    </row>
    <row r="443" ht="16" customHeight="1">
      <c r="A443" s="38" t="n"/>
      <c r="B443" s="38" t="n"/>
      <c r="C443" s="39" t="n"/>
      <c r="D443" s="53">
        <f>IF(B443="","",IFERROR(INDEX('食材の単価'!$D$5:$D$204,MATCH(B443,'食材の単価'!$A$5:$A$204,0))&amp;"",""))</f>
        <v/>
      </c>
      <c r="E443" s="80">
        <f>IF(B443="","",IFERROR(INDEX('食材の単価'!$G$5:$G$204,MATCH(B443,'食材の単価'!$A$5:$A$204,0)),""))</f>
        <v/>
      </c>
      <c r="F443" s="78">
        <f>IF(AND(ISNUMBER(C443),ISNUMBER(E443)),C443*E443,"")</f>
        <v/>
      </c>
      <c r="G443" s="33" t="n"/>
      <c r="H443" s="34">
        <f>IF(COUNTA(A443:C443,G443)=0,"",IF(TRIM(A443)="","メニュー名がありません",IF(ISNA(MATCH(A443,'メニュー原価率'!$A$8:$A$107,0)),"メニュー原価率に無いメニューです",IF(TRIM(B443)="","食材名がありません",IF(ISNA(MATCH(B443,'食材の単価'!$A$5:$A$204,0)),"食材の単価に無い食材です",IF(NOT(ISNUMBER(C443)),"使用量がありません",IF(NOT(ISNUMBER(E443)),"食材の単価が出ていません（仕入価格・仕入量）","")))))))</f>
        <v/>
      </c>
    </row>
    <row r="444" ht="16" customHeight="1">
      <c r="A444" s="38" t="n"/>
      <c r="B444" s="38" t="n"/>
      <c r="C444" s="39" t="n"/>
      <c r="D444" s="53">
        <f>IF(B444="","",IFERROR(INDEX('食材の単価'!$D$5:$D$204,MATCH(B444,'食材の単価'!$A$5:$A$204,0))&amp;"",""))</f>
        <v/>
      </c>
      <c r="E444" s="80">
        <f>IF(B444="","",IFERROR(INDEX('食材の単価'!$G$5:$G$204,MATCH(B444,'食材の単価'!$A$5:$A$204,0)),""))</f>
        <v/>
      </c>
      <c r="F444" s="78">
        <f>IF(AND(ISNUMBER(C444),ISNUMBER(E444)),C444*E444,"")</f>
        <v/>
      </c>
      <c r="G444" s="33" t="n"/>
      <c r="H444" s="34">
        <f>IF(COUNTA(A444:C444,G444)=0,"",IF(TRIM(A444)="","メニュー名がありません",IF(ISNA(MATCH(A444,'メニュー原価率'!$A$8:$A$107,0)),"メニュー原価率に無いメニューです",IF(TRIM(B444)="","食材名がありません",IF(ISNA(MATCH(B444,'食材の単価'!$A$5:$A$204,0)),"食材の単価に無い食材です",IF(NOT(ISNUMBER(C444)),"使用量がありません",IF(NOT(ISNUMBER(E444)),"食材の単価が出ていません（仕入価格・仕入量）","")))))))</f>
        <v/>
      </c>
    </row>
    <row r="445" ht="16" customHeight="1">
      <c r="A445" s="38" t="n"/>
      <c r="B445" s="38" t="n"/>
      <c r="C445" s="39" t="n"/>
      <c r="D445" s="53">
        <f>IF(B445="","",IFERROR(INDEX('食材の単価'!$D$5:$D$204,MATCH(B445,'食材の単価'!$A$5:$A$204,0))&amp;"",""))</f>
        <v/>
      </c>
      <c r="E445" s="80">
        <f>IF(B445="","",IFERROR(INDEX('食材の単価'!$G$5:$G$204,MATCH(B445,'食材の単価'!$A$5:$A$204,0)),""))</f>
        <v/>
      </c>
      <c r="F445" s="78">
        <f>IF(AND(ISNUMBER(C445),ISNUMBER(E445)),C445*E445,"")</f>
        <v/>
      </c>
      <c r="G445" s="33" t="n"/>
      <c r="H445" s="34">
        <f>IF(COUNTA(A445:C445,G445)=0,"",IF(TRIM(A445)="","メニュー名がありません",IF(ISNA(MATCH(A445,'メニュー原価率'!$A$8:$A$107,0)),"メニュー原価率に無いメニューです",IF(TRIM(B445)="","食材名がありません",IF(ISNA(MATCH(B445,'食材の単価'!$A$5:$A$204,0)),"食材の単価に無い食材です",IF(NOT(ISNUMBER(C445)),"使用量がありません",IF(NOT(ISNUMBER(E445)),"食材の単価が出ていません（仕入価格・仕入量）","")))))))</f>
        <v/>
      </c>
    </row>
    <row r="446" ht="16" customHeight="1">
      <c r="A446" s="38" t="n"/>
      <c r="B446" s="38" t="n"/>
      <c r="C446" s="39" t="n"/>
      <c r="D446" s="53">
        <f>IF(B446="","",IFERROR(INDEX('食材の単価'!$D$5:$D$204,MATCH(B446,'食材の単価'!$A$5:$A$204,0))&amp;"",""))</f>
        <v/>
      </c>
      <c r="E446" s="80">
        <f>IF(B446="","",IFERROR(INDEX('食材の単価'!$G$5:$G$204,MATCH(B446,'食材の単価'!$A$5:$A$204,0)),""))</f>
        <v/>
      </c>
      <c r="F446" s="78">
        <f>IF(AND(ISNUMBER(C446),ISNUMBER(E446)),C446*E446,"")</f>
        <v/>
      </c>
      <c r="G446" s="33" t="n"/>
      <c r="H446" s="34">
        <f>IF(COUNTA(A446:C446,G446)=0,"",IF(TRIM(A446)="","メニュー名がありません",IF(ISNA(MATCH(A446,'メニュー原価率'!$A$8:$A$107,0)),"メニュー原価率に無いメニューです",IF(TRIM(B446)="","食材名がありません",IF(ISNA(MATCH(B446,'食材の単価'!$A$5:$A$204,0)),"食材の単価に無い食材です",IF(NOT(ISNUMBER(C446)),"使用量がありません",IF(NOT(ISNUMBER(E446)),"食材の単価が出ていません（仕入価格・仕入量）","")))))))</f>
        <v/>
      </c>
    </row>
    <row r="447" ht="16" customHeight="1">
      <c r="A447" s="38" t="n"/>
      <c r="B447" s="38" t="n"/>
      <c r="C447" s="39" t="n"/>
      <c r="D447" s="53">
        <f>IF(B447="","",IFERROR(INDEX('食材の単価'!$D$5:$D$204,MATCH(B447,'食材の単価'!$A$5:$A$204,0))&amp;"",""))</f>
        <v/>
      </c>
      <c r="E447" s="80">
        <f>IF(B447="","",IFERROR(INDEX('食材の単価'!$G$5:$G$204,MATCH(B447,'食材の単価'!$A$5:$A$204,0)),""))</f>
        <v/>
      </c>
      <c r="F447" s="78">
        <f>IF(AND(ISNUMBER(C447),ISNUMBER(E447)),C447*E447,"")</f>
        <v/>
      </c>
      <c r="G447" s="33" t="n"/>
      <c r="H447" s="34">
        <f>IF(COUNTA(A447:C447,G447)=0,"",IF(TRIM(A447)="","メニュー名がありません",IF(ISNA(MATCH(A447,'メニュー原価率'!$A$8:$A$107,0)),"メニュー原価率に無いメニューです",IF(TRIM(B447)="","食材名がありません",IF(ISNA(MATCH(B447,'食材の単価'!$A$5:$A$204,0)),"食材の単価に無い食材です",IF(NOT(ISNUMBER(C447)),"使用量がありません",IF(NOT(ISNUMBER(E447)),"食材の単価が出ていません（仕入価格・仕入量）","")))))))</f>
        <v/>
      </c>
    </row>
    <row r="448" ht="16" customHeight="1">
      <c r="A448" s="38" t="n"/>
      <c r="B448" s="38" t="n"/>
      <c r="C448" s="39" t="n"/>
      <c r="D448" s="53">
        <f>IF(B448="","",IFERROR(INDEX('食材の単価'!$D$5:$D$204,MATCH(B448,'食材の単価'!$A$5:$A$204,0))&amp;"",""))</f>
        <v/>
      </c>
      <c r="E448" s="80">
        <f>IF(B448="","",IFERROR(INDEX('食材の単価'!$G$5:$G$204,MATCH(B448,'食材の単価'!$A$5:$A$204,0)),""))</f>
        <v/>
      </c>
      <c r="F448" s="78">
        <f>IF(AND(ISNUMBER(C448),ISNUMBER(E448)),C448*E448,"")</f>
        <v/>
      </c>
      <c r="G448" s="33" t="n"/>
      <c r="H448" s="34">
        <f>IF(COUNTA(A448:C448,G448)=0,"",IF(TRIM(A448)="","メニュー名がありません",IF(ISNA(MATCH(A448,'メニュー原価率'!$A$8:$A$107,0)),"メニュー原価率に無いメニューです",IF(TRIM(B448)="","食材名がありません",IF(ISNA(MATCH(B448,'食材の単価'!$A$5:$A$204,0)),"食材の単価に無い食材です",IF(NOT(ISNUMBER(C448)),"使用量がありません",IF(NOT(ISNUMBER(E448)),"食材の単価が出ていません（仕入価格・仕入量）","")))))))</f>
        <v/>
      </c>
    </row>
    <row r="449" ht="16" customHeight="1">
      <c r="A449" s="38" t="n"/>
      <c r="B449" s="38" t="n"/>
      <c r="C449" s="39" t="n"/>
      <c r="D449" s="53">
        <f>IF(B449="","",IFERROR(INDEX('食材の単価'!$D$5:$D$204,MATCH(B449,'食材の単価'!$A$5:$A$204,0))&amp;"",""))</f>
        <v/>
      </c>
      <c r="E449" s="80">
        <f>IF(B449="","",IFERROR(INDEX('食材の単価'!$G$5:$G$204,MATCH(B449,'食材の単価'!$A$5:$A$204,0)),""))</f>
        <v/>
      </c>
      <c r="F449" s="78">
        <f>IF(AND(ISNUMBER(C449),ISNUMBER(E449)),C449*E449,"")</f>
        <v/>
      </c>
      <c r="G449" s="33" t="n"/>
      <c r="H449" s="34">
        <f>IF(COUNTA(A449:C449,G449)=0,"",IF(TRIM(A449)="","メニュー名がありません",IF(ISNA(MATCH(A449,'メニュー原価率'!$A$8:$A$107,0)),"メニュー原価率に無いメニューです",IF(TRIM(B449)="","食材名がありません",IF(ISNA(MATCH(B449,'食材の単価'!$A$5:$A$204,0)),"食材の単価に無い食材です",IF(NOT(ISNUMBER(C449)),"使用量がありません",IF(NOT(ISNUMBER(E449)),"食材の単価が出ていません（仕入価格・仕入量）","")))))))</f>
        <v/>
      </c>
    </row>
    <row r="450" ht="16" customHeight="1">
      <c r="A450" s="38" t="n"/>
      <c r="B450" s="38" t="n"/>
      <c r="C450" s="39" t="n"/>
      <c r="D450" s="53">
        <f>IF(B450="","",IFERROR(INDEX('食材の単価'!$D$5:$D$204,MATCH(B450,'食材の単価'!$A$5:$A$204,0))&amp;"",""))</f>
        <v/>
      </c>
      <c r="E450" s="80">
        <f>IF(B450="","",IFERROR(INDEX('食材の単価'!$G$5:$G$204,MATCH(B450,'食材の単価'!$A$5:$A$204,0)),""))</f>
        <v/>
      </c>
      <c r="F450" s="78">
        <f>IF(AND(ISNUMBER(C450),ISNUMBER(E450)),C450*E450,"")</f>
        <v/>
      </c>
      <c r="G450" s="33" t="n"/>
      <c r="H450" s="34">
        <f>IF(COUNTA(A450:C450,G450)=0,"",IF(TRIM(A450)="","メニュー名がありません",IF(ISNA(MATCH(A450,'メニュー原価率'!$A$8:$A$107,0)),"メニュー原価率に無いメニューです",IF(TRIM(B450)="","食材名がありません",IF(ISNA(MATCH(B450,'食材の単価'!$A$5:$A$204,0)),"食材の単価に無い食材です",IF(NOT(ISNUMBER(C450)),"使用量がありません",IF(NOT(ISNUMBER(E450)),"食材の単価が出ていません（仕入価格・仕入量）","")))))))</f>
        <v/>
      </c>
    </row>
    <row r="451" ht="16" customHeight="1">
      <c r="A451" s="38" t="n"/>
      <c r="B451" s="38" t="n"/>
      <c r="C451" s="39" t="n"/>
      <c r="D451" s="53">
        <f>IF(B451="","",IFERROR(INDEX('食材の単価'!$D$5:$D$204,MATCH(B451,'食材の単価'!$A$5:$A$204,0))&amp;"",""))</f>
        <v/>
      </c>
      <c r="E451" s="80">
        <f>IF(B451="","",IFERROR(INDEX('食材の単価'!$G$5:$G$204,MATCH(B451,'食材の単価'!$A$5:$A$204,0)),""))</f>
        <v/>
      </c>
      <c r="F451" s="78">
        <f>IF(AND(ISNUMBER(C451),ISNUMBER(E451)),C451*E451,"")</f>
        <v/>
      </c>
      <c r="G451" s="33" t="n"/>
      <c r="H451" s="34">
        <f>IF(COUNTA(A451:C451,G451)=0,"",IF(TRIM(A451)="","メニュー名がありません",IF(ISNA(MATCH(A451,'メニュー原価率'!$A$8:$A$107,0)),"メニュー原価率に無いメニューです",IF(TRIM(B451)="","食材名がありません",IF(ISNA(MATCH(B451,'食材の単価'!$A$5:$A$204,0)),"食材の単価に無い食材です",IF(NOT(ISNUMBER(C451)),"使用量がありません",IF(NOT(ISNUMBER(E451)),"食材の単価が出ていません（仕入価格・仕入量）","")))))))</f>
        <v/>
      </c>
    </row>
    <row r="452" ht="16" customHeight="1">
      <c r="A452" s="38" t="n"/>
      <c r="B452" s="38" t="n"/>
      <c r="C452" s="39" t="n"/>
      <c r="D452" s="53">
        <f>IF(B452="","",IFERROR(INDEX('食材の単価'!$D$5:$D$204,MATCH(B452,'食材の単価'!$A$5:$A$204,0))&amp;"",""))</f>
        <v/>
      </c>
      <c r="E452" s="80">
        <f>IF(B452="","",IFERROR(INDEX('食材の単価'!$G$5:$G$204,MATCH(B452,'食材の単価'!$A$5:$A$204,0)),""))</f>
        <v/>
      </c>
      <c r="F452" s="78">
        <f>IF(AND(ISNUMBER(C452),ISNUMBER(E452)),C452*E452,"")</f>
        <v/>
      </c>
      <c r="G452" s="33" t="n"/>
      <c r="H452" s="34">
        <f>IF(COUNTA(A452:C452,G452)=0,"",IF(TRIM(A452)="","メニュー名がありません",IF(ISNA(MATCH(A452,'メニュー原価率'!$A$8:$A$107,0)),"メニュー原価率に無いメニューです",IF(TRIM(B452)="","食材名がありません",IF(ISNA(MATCH(B452,'食材の単価'!$A$5:$A$204,0)),"食材の単価に無い食材です",IF(NOT(ISNUMBER(C452)),"使用量がありません",IF(NOT(ISNUMBER(E452)),"食材の単価が出ていません（仕入価格・仕入量）","")))))))</f>
        <v/>
      </c>
    </row>
    <row r="453" ht="16" customHeight="1">
      <c r="A453" s="38" t="n"/>
      <c r="B453" s="38" t="n"/>
      <c r="C453" s="39" t="n"/>
      <c r="D453" s="53">
        <f>IF(B453="","",IFERROR(INDEX('食材の単価'!$D$5:$D$204,MATCH(B453,'食材の単価'!$A$5:$A$204,0))&amp;"",""))</f>
        <v/>
      </c>
      <c r="E453" s="80">
        <f>IF(B453="","",IFERROR(INDEX('食材の単価'!$G$5:$G$204,MATCH(B453,'食材の単価'!$A$5:$A$204,0)),""))</f>
        <v/>
      </c>
      <c r="F453" s="78">
        <f>IF(AND(ISNUMBER(C453),ISNUMBER(E453)),C453*E453,"")</f>
        <v/>
      </c>
      <c r="G453" s="33" t="n"/>
      <c r="H453" s="34">
        <f>IF(COUNTA(A453:C453,G453)=0,"",IF(TRIM(A453)="","メニュー名がありません",IF(ISNA(MATCH(A453,'メニュー原価率'!$A$8:$A$107,0)),"メニュー原価率に無いメニューです",IF(TRIM(B453)="","食材名がありません",IF(ISNA(MATCH(B453,'食材の単価'!$A$5:$A$204,0)),"食材の単価に無い食材です",IF(NOT(ISNUMBER(C453)),"使用量がありません",IF(NOT(ISNUMBER(E453)),"食材の単価が出ていません（仕入価格・仕入量）","")))))))</f>
        <v/>
      </c>
    </row>
    <row r="454" ht="16" customHeight="1">
      <c r="A454" s="38" t="n"/>
      <c r="B454" s="38" t="n"/>
      <c r="C454" s="39" t="n"/>
      <c r="D454" s="53">
        <f>IF(B454="","",IFERROR(INDEX('食材の単価'!$D$5:$D$204,MATCH(B454,'食材の単価'!$A$5:$A$204,0))&amp;"",""))</f>
        <v/>
      </c>
      <c r="E454" s="80">
        <f>IF(B454="","",IFERROR(INDEX('食材の単価'!$G$5:$G$204,MATCH(B454,'食材の単価'!$A$5:$A$204,0)),""))</f>
        <v/>
      </c>
      <c r="F454" s="78">
        <f>IF(AND(ISNUMBER(C454),ISNUMBER(E454)),C454*E454,"")</f>
        <v/>
      </c>
      <c r="G454" s="33" t="n"/>
      <c r="H454" s="34">
        <f>IF(COUNTA(A454:C454,G454)=0,"",IF(TRIM(A454)="","メニュー名がありません",IF(ISNA(MATCH(A454,'メニュー原価率'!$A$8:$A$107,0)),"メニュー原価率に無いメニューです",IF(TRIM(B454)="","食材名がありません",IF(ISNA(MATCH(B454,'食材の単価'!$A$5:$A$204,0)),"食材の単価に無い食材です",IF(NOT(ISNUMBER(C454)),"使用量がありません",IF(NOT(ISNUMBER(E454)),"食材の単価が出ていません（仕入価格・仕入量）","")))))))</f>
        <v/>
      </c>
    </row>
    <row r="455" ht="16" customHeight="1">
      <c r="A455" s="38" t="n"/>
      <c r="B455" s="38" t="n"/>
      <c r="C455" s="39" t="n"/>
      <c r="D455" s="53">
        <f>IF(B455="","",IFERROR(INDEX('食材の単価'!$D$5:$D$204,MATCH(B455,'食材の単価'!$A$5:$A$204,0))&amp;"",""))</f>
        <v/>
      </c>
      <c r="E455" s="80">
        <f>IF(B455="","",IFERROR(INDEX('食材の単価'!$G$5:$G$204,MATCH(B455,'食材の単価'!$A$5:$A$204,0)),""))</f>
        <v/>
      </c>
      <c r="F455" s="78">
        <f>IF(AND(ISNUMBER(C455),ISNUMBER(E455)),C455*E455,"")</f>
        <v/>
      </c>
      <c r="G455" s="33" t="n"/>
      <c r="H455" s="34">
        <f>IF(COUNTA(A455:C455,G455)=0,"",IF(TRIM(A455)="","メニュー名がありません",IF(ISNA(MATCH(A455,'メニュー原価率'!$A$8:$A$107,0)),"メニュー原価率に無いメニューです",IF(TRIM(B455)="","食材名がありません",IF(ISNA(MATCH(B455,'食材の単価'!$A$5:$A$204,0)),"食材の単価に無い食材です",IF(NOT(ISNUMBER(C455)),"使用量がありません",IF(NOT(ISNUMBER(E455)),"食材の単価が出ていません（仕入価格・仕入量）","")))))))</f>
        <v/>
      </c>
    </row>
    <row r="456" ht="16" customHeight="1">
      <c r="A456" s="38" t="n"/>
      <c r="B456" s="38" t="n"/>
      <c r="C456" s="39" t="n"/>
      <c r="D456" s="53">
        <f>IF(B456="","",IFERROR(INDEX('食材の単価'!$D$5:$D$204,MATCH(B456,'食材の単価'!$A$5:$A$204,0))&amp;"",""))</f>
        <v/>
      </c>
      <c r="E456" s="80">
        <f>IF(B456="","",IFERROR(INDEX('食材の単価'!$G$5:$G$204,MATCH(B456,'食材の単価'!$A$5:$A$204,0)),""))</f>
        <v/>
      </c>
      <c r="F456" s="78">
        <f>IF(AND(ISNUMBER(C456),ISNUMBER(E456)),C456*E456,"")</f>
        <v/>
      </c>
      <c r="G456" s="33" t="n"/>
      <c r="H456" s="34">
        <f>IF(COUNTA(A456:C456,G456)=0,"",IF(TRIM(A456)="","メニュー名がありません",IF(ISNA(MATCH(A456,'メニュー原価率'!$A$8:$A$107,0)),"メニュー原価率に無いメニューです",IF(TRIM(B456)="","食材名がありません",IF(ISNA(MATCH(B456,'食材の単価'!$A$5:$A$204,0)),"食材の単価に無い食材です",IF(NOT(ISNUMBER(C456)),"使用量がありません",IF(NOT(ISNUMBER(E456)),"食材の単価が出ていません（仕入価格・仕入量）","")))))))</f>
        <v/>
      </c>
    </row>
    <row r="457" ht="16" customHeight="1">
      <c r="A457" s="38" t="n"/>
      <c r="B457" s="38" t="n"/>
      <c r="C457" s="39" t="n"/>
      <c r="D457" s="53">
        <f>IF(B457="","",IFERROR(INDEX('食材の単価'!$D$5:$D$204,MATCH(B457,'食材の単価'!$A$5:$A$204,0))&amp;"",""))</f>
        <v/>
      </c>
      <c r="E457" s="80">
        <f>IF(B457="","",IFERROR(INDEX('食材の単価'!$G$5:$G$204,MATCH(B457,'食材の単価'!$A$5:$A$204,0)),""))</f>
        <v/>
      </c>
      <c r="F457" s="78">
        <f>IF(AND(ISNUMBER(C457),ISNUMBER(E457)),C457*E457,"")</f>
        <v/>
      </c>
      <c r="G457" s="33" t="n"/>
      <c r="H457" s="34">
        <f>IF(COUNTA(A457:C457,G457)=0,"",IF(TRIM(A457)="","メニュー名がありません",IF(ISNA(MATCH(A457,'メニュー原価率'!$A$8:$A$107,0)),"メニュー原価率に無いメニューです",IF(TRIM(B457)="","食材名がありません",IF(ISNA(MATCH(B457,'食材の単価'!$A$5:$A$204,0)),"食材の単価に無い食材です",IF(NOT(ISNUMBER(C457)),"使用量がありません",IF(NOT(ISNUMBER(E457)),"食材の単価が出ていません（仕入価格・仕入量）","")))))))</f>
        <v/>
      </c>
    </row>
    <row r="458" ht="16" customHeight="1">
      <c r="A458" s="38" t="n"/>
      <c r="B458" s="38" t="n"/>
      <c r="C458" s="39" t="n"/>
      <c r="D458" s="53">
        <f>IF(B458="","",IFERROR(INDEX('食材の単価'!$D$5:$D$204,MATCH(B458,'食材の単価'!$A$5:$A$204,0))&amp;"",""))</f>
        <v/>
      </c>
      <c r="E458" s="80">
        <f>IF(B458="","",IFERROR(INDEX('食材の単価'!$G$5:$G$204,MATCH(B458,'食材の単価'!$A$5:$A$204,0)),""))</f>
        <v/>
      </c>
      <c r="F458" s="78">
        <f>IF(AND(ISNUMBER(C458),ISNUMBER(E458)),C458*E458,"")</f>
        <v/>
      </c>
      <c r="G458" s="33" t="n"/>
      <c r="H458" s="34">
        <f>IF(COUNTA(A458:C458,G458)=0,"",IF(TRIM(A458)="","メニュー名がありません",IF(ISNA(MATCH(A458,'メニュー原価率'!$A$8:$A$107,0)),"メニュー原価率に無いメニューです",IF(TRIM(B458)="","食材名がありません",IF(ISNA(MATCH(B458,'食材の単価'!$A$5:$A$204,0)),"食材の単価に無い食材です",IF(NOT(ISNUMBER(C458)),"使用量がありません",IF(NOT(ISNUMBER(E458)),"食材の単価が出ていません（仕入価格・仕入量）","")))))))</f>
        <v/>
      </c>
    </row>
    <row r="459" ht="16" customHeight="1">
      <c r="A459" s="38" t="n"/>
      <c r="B459" s="38" t="n"/>
      <c r="C459" s="39" t="n"/>
      <c r="D459" s="53">
        <f>IF(B459="","",IFERROR(INDEX('食材の単価'!$D$5:$D$204,MATCH(B459,'食材の単価'!$A$5:$A$204,0))&amp;"",""))</f>
        <v/>
      </c>
      <c r="E459" s="80">
        <f>IF(B459="","",IFERROR(INDEX('食材の単価'!$G$5:$G$204,MATCH(B459,'食材の単価'!$A$5:$A$204,0)),""))</f>
        <v/>
      </c>
      <c r="F459" s="78">
        <f>IF(AND(ISNUMBER(C459),ISNUMBER(E459)),C459*E459,"")</f>
        <v/>
      </c>
      <c r="G459" s="33" t="n"/>
      <c r="H459" s="34">
        <f>IF(COUNTA(A459:C459,G459)=0,"",IF(TRIM(A459)="","メニュー名がありません",IF(ISNA(MATCH(A459,'メニュー原価率'!$A$8:$A$107,0)),"メニュー原価率に無いメニューです",IF(TRIM(B459)="","食材名がありません",IF(ISNA(MATCH(B459,'食材の単価'!$A$5:$A$204,0)),"食材の単価に無い食材です",IF(NOT(ISNUMBER(C459)),"使用量がありません",IF(NOT(ISNUMBER(E459)),"食材の単価が出ていません（仕入価格・仕入量）","")))))))</f>
        <v/>
      </c>
    </row>
    <row r="460" ht="16" customHeight="1">
      <c r="A460" s="38" t="n"/>
      <c r="B460" s="38" t="n"/>
      <c r="C460" s="39" t="n"/>
      <c r="D460" s="53">
        <f>IF(B460="","",IFERROR(INDEX('食材の単価'!$D$5:$D$204,MATCH(B460,'食材の単価'!$A$5:$A$204,0))&amp;"",""))</f>
        <v/>
      </c>
      <c r="E460" s="80">
        <f>IF(B460="","",IFERROR(INDEX('食材の単価'!$G$5:$G$204,MATCH(B460,'食材の単価'!$A$5:$A$204,0)),""))</f>
        <v/>
      </c>
      <c r="F460" s="78">
        <f>IF(AND(ISNUMBER(C460),ISNUMBER(E460)),C460*E460,"")</f>
        <v/>
      </c>
      <c r="G460" s="33" t="n"/>
      <c r="H460" s="34">
        <f>IF(COUNTA(A460:C460,G460)=0,"",IF(TRIM(A460)="","メニュー名がありません",IF(ISNA(MATCH(A460,'メニュー原価率'!$A$8:$A$107,0)),"メニュー原価率に無いメニューです",IF(TRIM(B460)="","食材名がありません",IF(ISNA(MATCH(B460,'食材の単価'!$A$5:$A$204,0)),"食材の単価に無い食材です",IF(NOT(ISNUMBER(C460)),"使用量がありません",IF(NOT(ISNUMBER(E460)),"食材の単価が出ていません（仕入価格・仕入量）","")))))))</f>
        <v/>
      </c>
    </row>
    <row r="461" ht="16" customHeight="1">
      <c r="A461" s="38" t="n"/>
      <c r="B461" s="38" t="n"/>
      <c r="C461" s="39" t="n"/>
      <c r="D461" s="53">
        <f>IF(B461="","",IFERROR(INDEX('食材の単価'!$D$5:$D$204,MATCH(B461,'食材の単価'!$A$5:$A$204,0))&amp;"",""))</f>
        <v/>
      </c>
      <c r="E461" s="80">
        <f>IF(B461="","",IFERROR(INDEX('食材の単価'!$G$5:$G$204,MATCH(B461,'食材の単価'!$A$5:$A$204,0)),""))</f>
        <v/>
      </c>
      <c r="F461" s="78">
        <f>IF(AND(ISNUMBER(C461),ISNUMBER(E461)),C461*E461,"")</f>
        <v/>
      </c>
      <c r="G461" s="33" t="n"/>
      <c r="H461" s="34">
        <f>IF(COUNTA(A461:C461,G461)=0,"",IF(TRIM(A461)="","メニュー名がありません",IF(ISNA(MATCH(A461,'メニュー原価率'!$A$8:$A$107,0)),"メニュー原価率に無いメニューです",IF(TRIM(B461)="","食材名がありません",IF(ISNA(MATCH(B461,'食材の単価'!$A$5:$A$204,0)),"食材の単価に無い食材です",IF(NOT(ISNUMBER(C461)),"使用量がありません",IF(NOT(ISNUMBER(E461)),"食材の単価が出ていません（仕入価格・仕入量）","")))))))</f>
        <v/>
      </c>
    </row>
    <row r="462" ht="16" customHeight="1">
      <c r="A462" s="38" t="n"/>
      <c r="B462" s="38" t="n"/>
      <c r="C462" s="39" t="n"/>
      <c r="D462" s="53">
        <f>IF(B462="","",IFERROR(INDEX('食材の単価'!$D$5:$D$204,MATCH(B462,'食材の単価'!$A$5:$A$204,0))&amp;"",""))</f>
        <v/>
      </c>
      <c r="E462" s="80">
        <f>IF(B462="","",IFERROR(INDEX('食材の単価'!$G$5:$G$204,MATCH(B462,'食材の単価'!$A$5:$A$204,0)),""))</f>
        <v/>
      </c>
      <c r="F462" s="78">
        <f>IF(AND(ISNUMBER(C462),ISNUMBER(E462)),C462*E462,"")</f>
        <v/>
      </c>
      <c r="G462" s="33" t="n"/>
      <c r="H462" s="34">
        <f>IF(COUNTA(A462:C462,G462)=0,"",IF(TRIM(A462)="","メニュー名がありません",IF(ISNA(MATCH(A462,'メニュー原価率'!$A$8:$A$107,0)),"メニュー原価率に無いメニューです",IF(TRIM(B462)="","食材名がありません",IF(ISNA(MATCH(B462,'食材の単価'!$A$5:$A$204,0)),"食材の単価に無い食材です",IF(NOT(ISNUMBER(C462)),"使用量がありません",IF(NOT(ISNUMBER(E462)),"食材の単価が出ていません（仕入価格・仕入量）","")))))))</f>
        <v/>
      </c>
    </row>
    <row r="463" ht="16" customHeight="1">
      <c r="A463" s="38" t="n"/>
      <c r="B463" s="38" t="n"/>
      <c r="C463" s="39" t="n"/>
      <c r="D463" s="53">
        <f>IF(B463="","",IFERROR(INDEX('食材の単価'!$D$5:$D$204,MATCH(B463,'食材の単価'!$A$5:$A$204,0))&amp;"",""))</f>
        <v/>
      </c>
      <c r="E463" s="80">
        <f>IF(B463="","",IFERROR(INDEX('食材の単価'!$G$5:$G$204,MATCH(B463,'食材の単価'!$A$5:$A$204,0)),""))</f>
        <v/>
      </c>
      <c r="F463" s="78">
        <f>IF(AND(ISNUMBER(C463),ISNUMBER(E463)),C463*E463,"")</f>
        <v/>
      </c>
      <c r="G463" s="33" t="n"/>
      <c r="H463" s="34">
        <f>IF(COUNTA(A463:C463,G463)=0,"",IF(TRIM(A463)="","メニュー名がありません",IF(ISNA(MATCH(A463,'メニュー原価率'!$A$8:$A$107,0)),"メニュー原価率に無いメニューです",IF(TRIM(B463)="","食材名がありません",IF(ISNA(MATCH(B463,'食材の単価'!$A$5:$A$204,0)),"食材の単価に無い食材です",IF(NOT(ISNUMBER(C463)),"使用量がありません",IF(NOT(ISNUMBER(E463)),"食材の単価が出ていません（仕入価格・仕入量）","")))))))</f>
        <v/>
      </c>
    </row>
    <row r="464" ht="16" customHeight="1">
      <c r="A464" s="38" t="n"/>
      <c r="B464" s="38" t="n"/>
      <c r="C464" s="39" t="n"/>
      <c r="D464" s="53">
        <f>IF(B464="","",IFERROR(INDEX('食材の単価'!$D$5:$D$204,MATCH(B464,'食材の単価'!$A$5:$A$204,0))&amp;"",""))</f>
        <v/>
      </c>
      <c r="E464" s="80">
        <f>IF(B464="","",IFERROR(INDEX('食材の単価'!$G$5:$G$204,MATCH(B464,'食材の単価'!$A$5:$A$204,0)),""))</f>
        <v/>
      </c>
      <c r="F464" s="78">
        <f>IF(AND(ISNUMBER(C464),ISNUMBER(E464)),C464*E464,"")</f>
        <v/>
      </c>
      <c r="G464" s="33" t="n"/>
      <c r="H464" s="34">
        <f>IF(COUNTA(A464:C464,G464)=0,"",IF(TRIM(A464)="","メニュー名がありません",IF(ISNA(MATCH(A464,'メニュー原価率'!$A$8:$A$107,0)),"メニュー原価率に無いメニューです",IF(TRIM(B464)="","食材名がありません",IF(ISNA(MATCH(B464,'食材の単価'!$A$5:$A$204,0)),"食材の単価に無い食材です",IF(NOT(ISNUMBER(C464)),"使用量がありません",IF(NOT(ISNUMBER(E464)),"食材の単価が出ていません（仕入価格・仕入量）","")))))))</f>
        <v/>
      </c>
    </row>
    <row r="465" ht="16" customHeight="1">
      <c r="A465" s="38" t="n"/>
      <c r="B465" s="38" t="n"/>
      <c r="C465" s="39" t="n"/>
      <c r="D465" s="53">
        <f>IF(B465="","",IFERROR(INDEX('食材の単価'!$D$5:$D$204,MATCH(B465,'食材の単価'!$A$5:$A$204,0))&amp;"",""))</f>
        <v/>
      </c>
      <c r="E465" s="80">
        <f>IF(B465="","",IFERROR(INDEX('食材の単価'!$G$5:$G$204,MATCH(B465,'食材の単価'!$A$5:$A$204,0)),""))</f>
        <v/>
      </c>
      <c r="F465" s="78">
        <f>IF(AND(ISNUMBER(C465),ISNUMBER(E465)),C465*E465,"")</f>
        <v/>
      </c>
      <c r="G465" s="33" t="n"/>
      <c r="H465" s="34">
        <f>IF(COUNTA(A465:C465,G465)=0,"",IF(TRIM(A465)="","メニュー名がありません",IF(ISNA(MATCH(A465,'メニュー原価率'!$A$8:$A$107,0)),"メニュー原価率に無いメニューです",IF(TRIM(B465)="","食材名がありません",IF(ISNA(MATCH(B465,'食材の単価'!$A$5:$A$204,0)),"食材の単価に無い食材です",IF(NOT(ISNUMBER(C465)),"使用量がありません",IF(NOT(ISNUMBER(E465)),"食材の単価が出ていません（仕入価格・仕入量）","")))))))</f>
        <v/>
      </c>
    </row>
    <row r="466" ht="16" customHeight="1">
      <c r="A466" s="38" t="n"/>
      <c r="B466" s="38" t="n"/>
      <c r="C466" s="39" t="n"/>
      <c r="D466" s="53">
        <f>IF(B466="","",IFERROR(INDEX('食材の単価'!$D$5:$D$204,MATCH(B466,'食材の単価'!$A$5:$A$204,0))&amp;"",""))</f>
        <v/>
      </c>
      <c r="E466" s="80">
        <f>IF(B466="","",IFERROR(INDEX('食材の単価'!$G$5:$G$204,MATCH(B466,'食材の単価'!$A$5:$A$204,0)),""))</f>
        <v/>
      </c>
      <c r="F466" s="78">
        <f>IF(AND(ISNUMBER(C466),ISNUMBER(E466)),C466*E466,"")</f>
        <v/>
      </c>
      <c r="G466" s="33" t="n"/>
      <c r="H466" s="34">
        <f>IF(COUNTA(A466:C466,G466)=0,"",IF(TRIM(A466)="","メニュー名がありません",IF(ISNA(MATCH(A466,'メニュー原価率'!$A$8:$A$107,0)),"メニュー原価率に無いメニューです",IF(TRIM(B466)="","食材名がありません",IF(ISNA(MATCH(B466,'食材の単価'!$A$5:$A$204,0)),"食材の単価に無い食材です",IF(NOT(ISNUMBER(C466)),"使用量がありません",IF(NOT(ISNUMBER(E466)),"食材の単価が出ていません（仕入価格・仕入量）","")))))))</f>
        <v/>
      </c>
    </row>
    <row r="467" ht="16" customHeight="1">
      <c r="A467" s="38" t="n"/>
      <c r="B467" s="38" t="n"/>
      <c r="C467" s="39" t="n"/>
      <c r="D467" s="53">
        <f>IF(B467="","",IFERROR(INDEX('食材の単価'!$D$5:$D$204,MATCH(B467,'食材の単価'!$A$5:$A$204,0))&amp;"",""))</f>
        <v/>
      </c>
      <c r="E467" s="80">
        <f>IF(B467="","",IFERROR(INDEX('食材の単価'!$G$5:$G$204,MATCH(B467,'食材の単価'!$A$5:$A$204,0)),""))</f>
        <v/>
      </c>
      <c r="F467" s="78">
        <f>IF(AND(ISNUMBER(C467),ISNUMBER(E467)),C467*E467,"")</f>
        <v/>
      </c>
      <c r="G467" s="33" t="n"/>
      <c r="H467" s="34">
        <f>IF(COUNTA(A467:C467,G467)=0,"",IF(TRIM(A467)="","メニュー名がありません",IF(ISNA(MATCH(A467,'メニュー原価率'!$A$8:$A$107,0)),"メニュー原価率に無いメニューです",IF(TRIM(B467)="","食材名がありません",IF(ISNA(MATCH(B467,'食材の単価'!$A$5:$A$204,0)),"食材の単価に無い食材です",IF(NOT(ISNUMBER(C467)),"使用量がありません",IF(NOT(ISNUMBER(E467)),"食材の単価が出ていません（仕入価格・仕入量）","")))))))</f>
        <v/>
      </c>
    </row>
    <row r="468" ht="16" customHeight="1">
      <c r="A468" s="38" t="n"/>
      <c r="B468" s="38" t="n"/>
      <c r="C468" s="39" t="n"/>
      <c r="D468" s="53">
        <f>IF(B468="","",IFERROR(INDEX('食材の単価'!$D$5:$D$204,MATCH(B468,'食材の単価'!$A$5:$A$204,0))&amp;"",""))</f>
        <v/>
      </c>
      <c r="E468" s="80">
        <f>IF(B468="","",IFERROR(INDEX('食材の単価'!$G$5:$G$204,MATCH(B468,'食材の単価'!$A$5:$A$204,0)),""))</f>
        <v/>
      </c>
      <c r="F468" s="78">
        <f>IF(AND(ISNUMBER(C468),ISNUMBER(E468)),C468*E468,"")</f>
        <v/>
      </c>
      <c r="G468" s="33" t="n"/>
      <c r="H468" s="34">
        <f>IF(COUNTA(A468:C468,G468)=0,"",IF(TRIM(A468)="","メニュー名がありません",IF(ISNA(MATCH(A468,'メニュー原価率'!$A$8:$A$107,0)),"メニュー原価率に無いメニューです",IF(TRIM(B468)="","食材名がありません",IF(ISNA(MATCH(B468,'食材の単価'!$A$5:$A$204,0)),"食材の単価に無い食材です",IF(NOT(ISNUMBER(C468)),"使用量がありません",IF(NOT(ISNUMBER(E468)),"食材の単価が出ていません（仕入価格・仕入量）","")))))))</f>
        <v/>
      </c>
    </row>
    <row r="469" ht="16" customHeight="1">
      <c r="A469" s="38" t="n"/>
      <c r="B469" s="38" t="n"/>
      <c r="C469" s="39" t="n"/>
      <c r="D469" s="53">
        <f>IF(B469="","",IFERROR(INDEX('食材の単価'!$D$5:$D$204,MATCH(B469,'食材の単価'!$A$5:$A$204,0))&amp;"",""))</f>
        <v/>
      </c>
      <c r="E469" s="80">
        <f>IF(B469="","",IFERROR(INDEX('食材の単価'!$G$5:$G$204,MATCH(B469,'食材の単価'!$A$5:$A$204,0)),""))</f>
        <v/>
      </c>
      <c r="F469" s="78">
        <f>IF(AND(ISNUMBER(C469),ISNUMBER(E469)),C469*E469,"")</f>
        <v/>
      </c>
      <c r="G469" s="33" t="n"/>
      <c r="H469" s="34">
        <f>IF(COUNTA(A469:C469,G469)=0,"",IF(TRIM(A469)="","メニュー名がありません",IF(ISNA(MATCH(A469,'メニュー原価率'!$A$8:$A$107,0)),"メニュー原価率に無いメニューです",IF(TRIM(B469)="","食材名がありません",IF(ISNA(MATCH(B469,'食材の単価'!$A$5:$A$204,0)),"食材の単価に無い食材です",IF(NOT(ISNUMBER(C469)),"使用量がありません",IF(NOT(ISNUMBER(E469)),"食材の単価が出ていません（仕入価格・仕入量）","")))))))</f>
        <v/>
      </c>
    </row>
    <row r="470" ht="16" customHeight="1">
      <c r="A470" s="38" t="n"/>
      <c r="B470" s="38" t="n"/>
      <c r="C470" s="39" t="n"/>
      <c r="D470" s="53">
        <f>IF(B470="","",IFERROR(INDEX('食材の単価'!$D$5:$D$204,MATCH(B470,'食材の単価'!$A$5:$A$204,0))&amp;"",""))</f>
        <v/>
      </c>
      <c r="E470" s="80">
        <f>IF(B470="","",IFERROR(INDEX('食材の単価'!$G$5:$G$204,MATCH(B470,'食材の単価'!$A$5:$A$204,0)),""))</f>
        <v/>
      </c>
      <c r="F470" s="78">
        <f>IF(AND(ISNUMBER(C470),ISNUMBER(E470)),C470*E470,"")</f>
        <v/>
      </c>
      <c r="G470" s="33" t="n"/>
      <c r="H470" s="34">
        <f>IF(COUNTA(A470:C470,G470)=0,"",IF(TRIM(A470)="","メニュー名がありません",IF(ISNA(MATCH(A470,'メニュー原価率'!$A$8:$A$107,0)),"メニュー原価率に無いメニューです",IF(TRIM(B470)="","食材名がありません",IF(ISNA(MATCH(B470,'食材の単価'!$A$5:$A$204,0)),"食材の単価に無い食材です",IF(NOT(ISNUMBER(C470)),"使用量がありません",IF(NOT(ISNUMBER(E470)),"食材の単価が出ていません（仕入価格・仕入量）","")))))))</f>
        <v/>
      </c>
    </row>
    <row r="471" ht="16" customHeight="1">
      <c r="A471" s="38" t="n"/>
      <c r="B471" s="38" t="n"/>
      <c r="C471" s="39" t="n"/>
      <c r="D471" s="53">
        <f>IF(B471="","",IFERROR(INDEX('食材の単価'!$D$5:$D$204,MATCH(B471,'食材の単価'!$A$5:$A$204,0))&amp;"",""))</f>
        <v/>
      </c>
      <c r="E471" s="80">
        <f>IF(B471="","",IFERROR(INDEX('食材の単価'!$G$5:$G$204,MATCH(B471,'食材の単価'!$A$5:$A$204,0)),""))</f>
        <v/>
      </c>
      <c r="F471" s="78">
        <f>IF(AND(ISNUMBER(C471),ISNUMBER(E471)),C471*E471,"")</f>
        <v/>
      </c>
      <c r="G471" s="33" t="n"/>
      <c r="H471" s="34">
        <f>IF(COUNTA(A471:C471,G471)=0,"",IF(TRIM(A471)="","メニュー名がありません",IF(ISNA(MATCH(A471,'メニュー原価率'!$A$8:$A$107,0)),"メニュー原価率に無いメニューです",IF(TRIM(B471)="","食材名がありません",IF(ISNA(MATCH(B471,'食材の単価'!$A$5:$A$204,0)),"食材の単価に無い食材です",IF(NOT(ISNUMBER(C471)),"使用量がありません",IF(NOT(ISNUMBER(E471)),"食材の単価が出ていません（仕入価格・仕入量）","")))))))</f>
        <v/>
      </c>
    </row>
    <row r="472" ht="16" customHeight="1">
      <c r="A472" s="38" t="n"/>
      <c r="B472" s="38" t="n"/>
      <c r="C472" s="39" t="n"/>
      <c r="D472" s="53">
        <f>IF(B472="","",IFERROR(INDEX('食材の単価'!$D$5:$D$204,MATCH(B472,'食材の単価'!$A$5:$A$204,0))&amp;"",""))</f>
        <v/>
      </c>
      <c r="E472" s="80">
        <f>IF(B472="","",IFERROR(INDEX('食材の単価'!$G$5:$G$204,MATCH(B472,'食材の単価'!$A$5:$A$204,0)),""))</f>
        <v/>
      </c>
      <c r="F472" s="78">
        <f>IF(AND(ISNUMBER(C472),ISNUMBER(E472)),C472*E472,"")</f>
        <v/>
      </c>
      <c r="G472" s="33" t="n"/>
      <c r="H472" s="34">
        <f>IF(COUNTA(A472:C472,G472)=0,"",IF(TRIM(A472)="","メニュー名がありません",IF(ISNA(MATCH(A472,'メニュー原価率'!$A$8:$A$107,0)),"メニュー原価率に無いメニューです",IF(TRIM(B472)="","食材名がありません",IF(ISNA(MATCH(B472,'食材の単価'!$A$5:$A$204,0)),"食材の単価に無い食材です",IF(NOT(ISNUMBER(C472)),"使用量がありません",IF(NOT(ISNUMBER(E472)),"食材の単価が出ていません（仕入価格・仕入量）","")))))))</f>
        <v/>
      </c>
    </row>
    <row r="473" ht="16" customHeight="1">
      <c r="A473" s="38" t="n"/>
      <c r="B473" s="38" t="n"/>
      <c r="C473" s="39" t="n"/>
      <c r="D473" s="53">
        <f>IF(B473="","",IFERROR(INDEX('食材の単価'!$D$5:$D$204,MATCH(B473,'食材の単価'!$A$5:$A$204,0))&amp;"",""))</f>
        <v/>
      </c>
      <c r="E473" s="80">
        <f>IF(B473="","",IFERROR(INDEX('食材の単価'!$G$5:$G$204,MATCH(B473,'食材の単価'!$A$5:$A$204,0)),""))</f>
        <v/>
      </c>
      <c r="F473" s="78">
        <f>IF(AND(ISNUMBER(C473),ISNUMBER(E473)),C473*E473,"")</f>
        <v/>
      </c>
      <c r="G473" s="33" t="n"/>
      <c r="H473" s="34">
        <f>IF(COUNTA(A473:C473,G473)=0,"",IF(TRIM(A473)="","メニュー名がありません",IF(ISNA(MATCH(A473,'メニュー原価率'!$A$8:$A$107,0)),"メニュー原価率に無いメニューです",IF(TRIM(B473)="","食材名がありません",IF(ISNA(MATCH(B473,'食材の単価'!$A$5:$A$204,0)),"食材の単価に無い食材です",IF(NOT(ISNUMBER(C473)),"使用量がありません",IF(NOT(ISNUMBER(E473)),"食材の単価が出ていません（仕入価格・仕入量）","")))))))</f>
        <v/>
      </c>
    </row>
    <row r="474" ht="16" customHeight="1">
      <c r="A474" s="38" t="n"/>
      <c r="B474" s="38" t="n"/>
      <c r="C474" s="39" t="n"/>
      <c r="D474" s="53">
        <f>IF(B474="","",IFERROR(INDEX('食材の単価'!$D$5:$D$204,MATCH(B474,'食材の単価'!$A$5:$A$204,0))&amp;"",""))</f>
        <v/>
      </c>
      <c r="E474" s="80">
        <f>IF(B474="","",IFERROR(INDEX('食材の単価'!$G$5:$G$204,MATCH(B474,'食材の単価'!$A$5:$A$204,0)),""))</f>
        <v/>
      </c>
      <c r="F474" s="78">
        <f>IF(AND(ISNUMBER(C474),ISNUMBER(E474)),C474*E474,"")</f>
        <v/>
      </c>
      <c r="G474" s="33" t="n"/>
      <c r="H474" s="34">
        <f>IF(COUNTA(A474:C474,G474)=0,"",IF(TRIM(A474)="","メニュー名がありません",IF(ISNA(MATCH(A474,'メニュー原価率'!$A$8:$A$107,0)),"メニュー原価率に無いメニューです",IF(TRIM(B474)="","食材名がありません",IF(ISNA(MATCH(B474,'食材の単価'!$A$5:$A$204,0)),"食材の単価に無い食材です",IF(NOT(ISNUMBER(C474)),"使用量がありません",IF(NOT(ISNUMBER(E474)),"食材の単価が出ていません（仕入価格・仕入量）","")))))))</f>
        <v/>
      </c>
    </row>
    <row r="475" ht="16" customHeight="1">
      <c r="A475" s="38" t="n"/>
      <c r="B475" s="38" t="n"/>
      <c r="C475" s="39" t="n"/>
      <c r="D475" s="53">
        <f>IF(B475="","",IFERROR(INDEX('食材の単価'!$D$5:$D$204,MATCH(B475,'食材の単価'!$A$5:$A$204,0))&amp;"",""))</f>
        <v/>
      </c>
      <c r="E475" s="80">
        <f>IF(B475="","",IFERROR(INDEX('食材の単価'!$G$5:$G$204,MATCH(B475,'食材の単価'!$A$5:$A$204,0)),""))</f>
        <v/>
      </c>
      <c r="F475" s="78">
        <f>IF(AND(ISNUMBER(C475),ISNUMBER(E475)),C475*E475,"")</f>
        <v/>
      </c>
      <c r="G475" s="33" t="n"/>
      <c r="H475" s="34">
        <f>IF(COUNTA(A475:C475,G475)=0,"",IF(TRIM(A475)="","メニュー名がありません",IF(ISNA(MATCH(A475,'メニュー原価率'!$A$8:$A$107,0)),"メニュー原価率に無いメニューです",IF(TRIM(B475)="","食材名がありません",IF(ISNA(MATCH(B475,'食材の単価'!$A$5:$A$204,0)),"食材の単価に無い食材です",IF(NOT(ISNUMBER(C475)),"使用量がありません",IF(NOT(ISNUMBER(E475)),"食材の単価が出ていません（仕入価格・仕入量）","")))))))</f>
        <v/>
      </c>
    </row>
    <row r="476" ht="16" customHeight="1">
      <c r="A476" s="38" t="n"/>
      <c r="B476" s="38" t="n"/>
      <c r="C476" s="39" t="n"/>
      <c r="D476" s="53">
        <f>IF(B476="","",IFERROR(INDEX('食材の単価'!$D$5:$D$204,MATCH(B476,'食材の単価'!$A$5:$A$204,0))&amp;"",""))</f>
        <v/>
      </c>
      <c r="E476" s="80">
        <f>IF(B476="","",IFERROR(INDEX('食材の単価'!$G$5:$G$204,MATCH(B476,'食材の単価'!$A$5:$A$204,0)),""))</f>
        <v/>
      </c>
      <c r="F476" s="78">
        <f>IF(AND(ISNUMBER(C476),ISNUMBER(E476)),C476*E476,"")</f>
        <v/>
      </c>
      <c r="G476" s="33" t="n"/>
      <c r="H476" s="34">
        <f>IF(COUNTA(A476:C476,G476)=0,"",IF(TRIM(A476)="","メニュー名がありません",IF(ISNA(MATCH(A476,'メニュー原価率'!$A$8:$A$107,0)),"メニュー原価率に無いメニューです",IF(TRIM(B476)="","食材名がありません",IF(ISNA(MATCH(B476,'食材の単価'!$A$5:$A$204,0)),"食材の単価に無い食材です",IF(NOT(ISNUMBER(C476)),"使用量がありません",IF(NOT(ISNUMBER(E476)),"食材の単価が出ていません（仕入価格・仕入量）","")))))))</f>
        <v/>
      </c>
    </row>
    <row r="477" ht="16" customHeight="1">
      <c r="A477" s="38" t="n"/>
      <c r="B477" s="38" t="n"/>
      <c r="C477" s="39" t="n"/>
      <c r="D477" s="53">
        <f>IF(B477="","",IFERROR(INDEX('食材の単価'!$D$5:$D$204,MATCH(B477,'食材の単価'!$A$5:$A$204,0))&amp;"",""))</f>
        <v/>
      </c>
      <c r="E477" s="80">
        <f>IF(B477="","",IFERROR(INDEX('食材の単価'!$G$5:$G$204,MATCH(B477,'食材の単価'!$A$5:$A$204,0)),""))</f>
        <v/>
      </c>
      <c r="F477" s="78">
        <f>IF(AND(ISNUMBER(C477),ISNUMBER(E477)),C477*E477,"")</f>
        <v/>
      </c>
      <c r="G477" s="33" t="n"/>
      <c r="H477" s="34">
        <f>IF(COUNTA(A477:C477,G477)=0,"",IF(TRIM(A477)="","メニュー名がありません",IF(ISNA(MATCH(A477,'メニュー原価率'!$A$8:$A$107,0)),"メニュー原価率に無いメニューです",IF(TRIM(B477)="","食材名がありません",IF(ISNA(MATCH(B477,'食材の単価'!$A$5:$A$204,0)),"食材の単価に無い食材です",IF(NOT(ISNUMBER(C477)),"使用量がありません",IF(NOT(ISNUMBER(E477)),"食材の単価が出ていません（仕入価格・仕入量）","")))))))</f>
        <v/>
      </c>
    </row>
    <row r="478" ht="16" customHeight="1">
      <c r="A478" s="38" t="n"/>
      <c r="B478" s="38" t="n"/>
      <c r="C478" s="39" t="n"/>
      <c r="D478" s="53">
        <f>IF(B478="","",IFERROR(INDEX('食材の単価'!$D$5:$D$204,MATCH(B478,'食材の単価'!$A$5:$A$204,0))&amp;"",""))</f>
        <v/>
      </c>
      <c r="E478" s="80">
        <f>IF(B478="","",IFERROR(INDEX('食材の単価'!$G$5:$G$204,MATCH(B478,'食材の単価'!$A$5:$A$204,0)),""))</f>
        <v/>
      </c>
      <c r="F478" s="78">
        <f>IF(AND(ISNUMBER(C478),ISNUMBER(E478)),C478*E478,"")</f>
        <v/>
      </c>
      <c r="G478" s="33" t="n"/>
      <c r="H478" s="34">
        <f>IF(COUNTA(A478:C478,G478)=0,"",IF(TRIM(A478)="","メニュー名がありません",IF(ISNA(MATCH(A478,'メニュー原価率'!$A$8:$A$107,0)),"メニュー原価率に無いメニューです",IF(TRIM(B478)="","食材名がありません",IF(ISNA(MATCH(B478,'食材の単価'!$A$5:$A$204,0)),"食材の単価に無い食材です",IF(NOT(ISNUMBER(C478)),"使用量がありません",IF(NOT(ISNUMBER(E478)),"食材の単価が出ていません（仕入価格・仕入量）","")))))))</f>
        <v/>
      </c>
    </row>
    <row r="479" ht="16" customHeight="1">
      <c r="A479" s="38" t="n"/>
      <c r="B479" s="38" t="n"/>
      <c r="C479" s="39" t="n"/>
      <c r="D479" s="53">
        <f>IF(B479="","",IFERROR(INDEX('食材の単価'!$D$5:$D$204,MATCH(B479,'食材の単価'!$A$5:$A$204,0))&amp;"",""))</f>
        <v/>
      </c>
      <c r="E479" s="80">
        <f>IF(B479="","",IFERROR(INDEX('食材の単価'!$G$5:$G$204,MATCH(B479,'食材の単価'!$A$5:$A$204,0)),""))</f>
        <v/>
      </c>
      <c r="F479" s="78">
        <f>IF(AND(ISNUMBER(C479),ISNUMBER(E479)),C479*E479,"")</f>
        <v/>
      </c>
      <c r="G479" s="33" t="n"/>
      <c r="H479" s="34">
        <f>IF(COUNTA(A479:C479,G479)=0,"",IF(TRIM(A479)="","メニュー名がありません",IF(ISNA(MATCH(A479,'メニュー原価率'!$A$8:$A$107,0)),"メニュー原価率に無いメニューです",IF(TRIM(B479)="","食材名がありません",IF(ISNA(MATCH(B479,'食材の単価'!$A$5:$A$204,0)),"食材の単価に無い食材です",IF(NOT(ISNUMBER(C479)),"使用量がありません",IF(NOT(ISNUMBER(E479)),"食材の単価が出ていません（仕入価格・仕入量）","")))))))</f>
        <v/>
      </c>
    </row>
    <row r="480" ht="16" customHeight="1">
      <c r="A480" s="38" t="n"/>
      <c r="B480" s="38" t="n"/>
      <c r="C480" s="39" t="n"/>
      <c r="D480" s="53">
        <f>IF(B480="","",IFERROR(INDEX('食材の単価'!$D$5:$D$204,MATCH(B480,'食材の単価'!$A$5:$A$204,0))&amp;"",""))</f>
        <v/>
      </c>
      <c r="E480" s="80">
        <f>IF(B480="","",IFERROR(INDEX('食材の単価'!$G$5:$G$204,MATCH(B480,'食材の単価'!$A$5:$A$204,0)),""))</f>
        <v/>
      </c>
      <c r="F480" s="78">
        <f>IF(AND(ISNUMBER(C480),ISNUMBER(E480)),C480*E480,"")</f>
        <v/>
      </c>
      <c r="G480" s="33" t="n"/>
      <c r="H480" s="34">
        <f>IF(COUNTA(A480:C480,G480)=0,"",IF(TRIM(A480)="","メニュー名がありません",IF(ISNA(MATCH(A480,'メニュー原価率'!$A$8:$A$107,0)),"メニュー原価率に無いメニューです",IF(TRIM(B480)="","食材名がありません",IF(ISNA(MATCH(B480,'食材の単価'!$A$5:$A$204,0)),"食材の単価に無い食材です",IF(NOT(ISNUMBER(C480)),"使用量がありません",IF(NOT(ISNUMBER(E480)),"食材の単価が出ていません（仕入価格・仕入量）","")))))))</f>
        <v/>
      </c>
    </row>
    <row r="481" ht="16" customHeight="1">
      <c r="A481" s="38" t="n"/>
      <c r="B481" s="38" t="n"/>
      <c r="C481" s="39" t="n"/>
      <c r="D481" s="53">
        <f>IF(B481="","",IFERROR(INDEX('食材の単価'!$D$5:$D$204,MATCH(B481,'食材の単価'!$A$5:$A$204,0))&amp;"",""))</f>
        <v/>
      </c>
      <c r="E481" s="80">
        <f>IF(B481="","",IFERROR(INDEX('食材の単価'!$G$5:$G$204,MATCH(B481,'食材の単価'!$A$5:$A$204,0)),""))</f>
        <v/>
      </c>
      <c r="F481" s="78">
        <f>IF(AND(ISNUMBER(C481),ISNUMBER(E481)),C481*E481,"")</f>
        <v/>
      </c>
      <c r="G481" s="33" t="n"/>
      <c r="H481" s="34">
        <f>IF(COUNTA(A481:C481,G481)=0,"",IF(TRIM(A481)="","メニュー名がありません",IF(ISNA(MATCH(A481,'メニュー原価率'!$A$8:$A$107,0)),"メニュー原価率に無いメニューです",IF(TRIM(B481)="","食材名がありません",IF(ISNA(MATCH(B481,'食材の単価'!$A$5:$A$204,0)),"食材の単価に無い食材です",IF(NOT(ISNUMBER(C481)),"使用量がありません",IF(NOT(ISNUMBER(E481)),"食材の単価が出ていません（仕入価格・仕入量）","")))))))</f>
        <v/>
      </c>
    </row>
    <row r="482" ht="16" customHeight="1">
      <c r="A482" s="38" t="n"/>
      <c r="B482" s="38" t="n"/>
      <c r="C482" s="39" t="n"/>
      <c r="D482" s="53">
        <f>IF(B482="","",IFERROR(INDEX('食材の単価'!$D$5:$D$204,MATCH(B482,'食材の単価'!$A$5:$A$204,0))&amp;"",""))</f>
        <v/>
      </c>
      <c r="E482" s="80">
        <f>IF(B482="","",IFERROR(INDEX('食材の単価'!$G$5:$G$204,MATCH(B482,'食材の単価'!$A$5:$A$204,0)),""))</f>
        <v/>
      </c>
      <c r="F482" s="78">
        <f>IF(AND(ISNUMBER(C482),ISNUMBER(E482)),C482*E482,"")</f>
        <v/>
      </c>
      <c r="G482" s="33" t="n"/>
      <c r="H482" s="34">
        <f>IF(COUNTA(A482:C482,G482)=0,"",IF(TRIM(A482)="","メニュー名がありません",IF(ISNA(MATCH(A482,'メニュー原価率'!$A$8:$A$107,0)),"メニュー原価率に無いメニューです",IF(TRIM(B482)="","食材名がありません",IF(ISNA(MATCH(B482,'食材の単価'!$A$5:$A$204,0)),"食材の単価に無い食材です",IF(NOT(ISNUMBER(C482)),"使用量がありません",IF(NOT(ISNUMBER(E482)),"食材の単価が出ていません（仕入価格・仕入量）","")))))))</f>
        <v/>
      </c>
    </row>
    <row r="483" ht="16" customHeight="1">
      <c r="A483" s="38" t="n"/>
      <c r="B483" s="38" t="n"/>
      <c r="C483" s="39" t="n"/>
      <c r="D483" s="53">
        <f>IF(B483="","",IFERROR(INDEX('食材の単価'!$D$5:$D$204,MATCH(B483,'食材の単価'!$A$5:$A$204,0))&amp;"",""))</f>
        <v/>
      </c>
      <c r="E483" s="80">
        <f>IF(B483="","",IFERROR(INDEX('食材の単価'!$G$5:$G$204,MATCH(B483,'食材の単価'!$A$5:$A$204,0)),""))</f>
        <v/>
      </c>
      <c r="F483" s="78">
        <f>IF(AND(ISNUMBER(C483),ISNUMBER(E483)),C483*E483,"")</f>
        <v/>
      </c>
      <c r="G483" s="33" t="n"/>
      <c r="H483" s="34">
        <f>IF(COUNTA(A483:C483,G483)=0,"",IF(TRIM(A483)="","メニュー名がありません",IF(ISNA(MATCH(A483,'メニュー原価率'!$A$8:$A$107,0)),"メニュー原価率に無いメニューです",IF(TRIM(B483)="","食材名がありません",IF(ISNA(MATCH(B483,'食材の単価'!$A$5:$A$204,0)),"食材の単価に無い食材です",IF(NOT(ISNUMBER(C483)),"使用量がありません",IF(NOT(ISNUMBER(E483)),"食材の単価が出ていません（仕入価格・仕入量）","")))))))</f>
        <v/>
      </c>
    </row>
    <row r="484" ht="16" customHeight="1">
      <c r="A484" s="38" t="n"/>
      <c r="B484" s="38" t="n"/>
      <c r="C484" s="39" t="n"/>
      <c r="D484" s="53">
        <f>IF(B484="","",IFERROR(INDEX('食材の単価'!$D$5:$D$204,MATCH(B484,'食材の単価'!$A$5:$A$204,0))&amp;"",""))</f>
        <v/>
      </c>
      <c r="E484" s="80">
        <f>IF(B484="","",IFERROR(INDEX('食材の単価'!$G$5:$G$204,MATCH(B484,'食材の単価'!$A$5:$A$204,0)),""))</f>
        <v/>
      </c>
      <c r="F484" s="78">
        <f>IF(AND(ISNUMBER(C484),ISNUMBER(E484)),C484*E484,"")</f>
        <v/>
      </c>
      <c r="G484" s="33" t="n"/>
      <c r="H484" s="34">
        <f>IF(COUNTA(A484:C484,G484)=0,"",IF(TRIM(A484)="","メニュー名がありません",IF(ISNA(MATCH(A484,'メニュー原価率'!$A$8:$A$107,0)),"メニュー原価率に無いメニューです",IF(TRIM(B484)="","食材名がありません",IF(ISNA(MATCH(B484,'食材の単価'!$A$5:$A$204,0)),"食材の単価に無い食材です",IF(NOT(ISNUMBER(C484)),"使用量がありません",IF(NOT(ISNUMBER(E484)),"食材の単価が出ていません（仕入価格・仕入量）","")))))))</f>
        <v/>
      </c>
    </row>
    <row r="485" ht="16" customHeight="1">
      <c r="A485" s="38" t="n"/>
      <c r="B485" s="38" t="n"/>
      <c r="C485" s="39" t="n"/>
      <c r="D485" s="53">
        <f>IF(B485="","",IFERROR(INDEX('食材の単価'!$D$5:$D$204,MATCH(B485,'食材の単価'!$A$5:$A$204,0))&amp;"",""))</f>
        <v/>
      </c>
      <c r="E485" s="80">
        <f>IF(B485="","",IFERROR(INDEX('食材の単価'!$G$5:$G$204,MATCH(B485,'食材の単価'!$A$5:$A$204,0)),""))</f>
        <v/>
      </c>
      <c r="F485" s="78">
        <f>IF(AND(ISNUMBER(C485),ISNUMBER(E485)),C485*E485,"")</f>
        <v/>
      </c>
      <c r="G485" s="33" t="n"/>
      <c r="H485" s="34">
        <f>IF(COUNTA(A485:C485,G485)=0,"",IF(TRIM(A485)="","メニュー名がありません",IF(ISNA(MATCH(A485,'メニュー原価率'!$A$8:$A$107,0)),"メニュー原価率に無いメニューです",IF(TRIM(B485)="","食材名がありません",IF(ISNA(MATCH(B485,'食材の単価'!$A$5:$A$204,0)),"食材の単価に無い食材です",IF(NOT(ISNUMBER(C485)),"使用量がありません",IF(NOT(ISNUMBER(E485)),"食材の単価が出ていません（仕入価格・仕入量）","")))))))</f>
        <v/>
      </c>
    </row>
    <row r="486" ht="16" customHeight="1">
      <c r="A486" s="38" t="n"/>
      <c r="B486" s="38" t="n"/>
      <c r="C486" s="39" t="n"/>
      <c r="D486" s="53">
        <f>IF(B486="","",IFERROR(INDEX('食材の単価'!$D$5:$D$204,MATCH(B486,'食材の単価'!$A$5:$A$204,0))&amp;"",""))</f>
        <v/>
      </c>
      <c r="E486" s="80">
        <f>IF(B486="","",IFERROR(INDEX('食材の単価'!$G$5:$G$204,MATCH(B486,'食材の単価'!$A$5:$A$204,0)),""))</f>
        <v/>
      </c>
      <c r="F486" s="78">
        <f>IF(AND(ISNUMBER(C486),ISNUMBER(E486)),C486*E486,"")</f>
        <v/>
      </c>
      <c r="G486" s="33" t="n"/>
      <c r="H486" s="34">
        <f>IF(COUNTA(A486:C486,G486)=0,"",IF(TRIM(A486)="","メニュー名がありません",IF(ISNA(MATCH(A486,'メニュー原価率'!$A$8:$A$107,0)),"メニュー原価率に無いメニューです",IF(TRIM(B486)="","食材名がありません",IF(ISNA(MATCH(B486,'食材の単価'!$A$5:$A$204,0)),"食材の単価に無い食材です",IF(NOT(ISNUMBER(C486)),"使用量がありません",IF(NOT(ISNUMBER(E486)),"食材の単価が出ていません（仕入価格・仕入量）","")))))))</f>
        <v/>
      </c>
    </row>
    <row r="487" ht="16" customHeight="1">
      <c r="A487" s="38" t="n"/>
      <c r="B487" s="38" t="n"/>
      <c r="C487" s="39" t="n"/>
      <c r="D487" s="53">
        <f>IF(B487="","",IFERROR(INDEX('食材の単価'!$D$5:$D$204,MATCH(B487,'食材の単価'!$A$5:$A$204,0))&amp;"",""))</f>
        <v/>
      </c>
      <c r="E487" s="80">
        <f>IF(B487="","",IFERROR(INDEX('食材の単価'!$G$5:$G$204,MATCH(B487,'食材の単価'!$A$5:$A$204,0)),""))</f>
        <v/>
      </c>
      <c r="F487" s="78">
        <f>IF(AND(ISNUMBER(C487),ISNUMBER(E487)),C487*E487,"")</f>
        <v/>
      </c>
      <c r="G487" s="33" t="n"/>
      <c r="H487" s="34">
        <f>IF(COUNTA(A487:C487,G487)=0,"",IF(TRIM(A487)="","メニュー名がありません",IF(ISNA(MATCH(A487,'メニュー原価率'!$A$8:$A$107,0)),"メニュー原価率に無いメニューです",IF(TRIM(B487)="","食材名がありません",IF(ISNA(MATCH(B487,'食材の単価'!$A$5:$A$204,0)),"食材の単価に無い食材です",IF(NOT(ISNUMBER(C487)),"使用量がありません",IF(NOT(ISNUMBER(E487)),"食材の単価が出ていません（仕入価格・仕入量）","")))))))</f>
        <v/>
      </c>
    </row>
    <row r="488" ht="16" customHeight="1">
      <c r="A488" s="38" t="n"/>
      <c r="B488" s="38" t="n"/>
      <c r="C488" s="39" t="n"/>
      <c r="D488" s="53">
        <f>IF(B488="","",IFERROR(INDEX('食材の単価'!$D$5:$D$204,MATCH(B488,'食材の単価'!$A$5:$A$204,0))&amp;"",""))</f>
        <v/>
      </c>
      <c r="E488" s="80">
        <f>IF(B488="","",IFERROR(INDEX('食材の単価'!$G$5:$G$204,MATCH(B488,'食材の単価'!$A$5:$A$204,0)),""))</f>
        <v/>
      </c>
      <c r="F488" s="78">
        <f>IF(AND(ISNUMBER(C488),ISNUMBER(E488)),C488*E488,"")</f>
        <v/>
      </c>
      <c r="G488" s="33" t="n"/>
      <c r="H488" s="34">
        <f>IF(COUNTA(A488:C488,G488)=0,"",IF(TRIM(A488)="","メニュー名がありません",IF(ISNA(MATCH(A488,'メニュー原価率'!$A$8:$A$107,0)),"メニュー原価率に無いメニューです",IF(TRIM(B488)="","食材名がありません",IF(ISNA(MATCH(B488,'食材の単価'!$A$5:$A$204,0)),"食材の単価に無い食材です",IF(NOT(ISNUMBER(C488)),"使用量がありません",IF(NOT(ISNUMBER(E488)),"食材の単価が出ていません（仕入価格・仕入量）","")))))))</f>
        <v/>
      </c>
    </row>
    <row r="489" ht="16" customHeight="1">
      <c r="A489" s="38" t="n"/>
      <c r="B489" s="38" t="n"/>
      <c r="C489" s="39" t="n"/>
      <c r="D489" s="53">
        <f>IF(B489="","",IFERROR(INDEX('食材の単価'!$D$5:$D$204,MATCH(B489,'食材の単価'!$A$5:$A$204,0))&amp;"",""))</f>
        <v/>
      </c>
      <c r="E489" s="80">
        <f>IF(B489="","",IFERROR(INDEX('食材の単価'!$G$5:$G$204,MATCH(B489,'食材の単価'!$A$5:$A$204,0)),""))</f>
        <v/>
      </c>
      <c r="F489" s="78">
        <f>IF(AND(ISNUMBER(C489),ISNUMBER(E489)),C489*E489,"")</f>
        <v/>
      </c>
      <c r="G489" s="33" t="n"/>
      <c r="H489" s="34">
        <f>IF(COUNTA(A489:C489,G489)=0,"",IF(TRIM(A489)="","メニュー名がありません",IF(ISNA(MATCH(A489,'メニュー原価率'!$A$8:$A$107,0)),"メニュー原価率に無いメニューです",IF(TRIM(B489)="","食材名がありません",IF(ISNA(MATCH(B489,'食材の単価'!$A$5:$A$204,0)),"食材の単価に無い食材です",IF(NOT(ISNUMBER(C489)),"使用量がありません",IF(NOT(ISNUMBER(E489)),"食材の単価が出ていません（仕入価格・仕入量）","")))))))</f>
        <v/>
      </c>
    </row>
    <row r="490" ht="16" customHeight="1">
      <c r="A490" s="38" t="n"/>
      <c r="B490" s="38" t="n"/>
      <c r="C490" s="39" t="n"/>
      <c r="D490" s="53">
        <f>IF(B490="","",IFERROR(INDEX('食材の単価'!$D$5:$D$204,MATCH(B490,'食材の単価'!$A$5:$A$204,0))&amp;"",""))</f>
        <v/>
      </c>
      <c r="E490" s="80">
        <f>IF(B490="","",IFERROR(INDEX('食材の単価'!$G$5:$G$204,MATCH(B490,'食材の単価'!$A$5:$A$204,0)),""))</f>
        <v/>
      </c>
      <c r="F490" s="78">
        <f>IF(AND(ISNUMBER(C490),ISNUMBER(E490)),C490*E490,"")</f>
        <v/>
      </c>
      <c r="G490" s="33" t="n"/>
      <c r="H490" s="34">
        <f>IF(COUNTA(A490:C490,G490)=0,"",IF(TRIM(A490)="","メニュー名がありません",IF(ISNA(MATCH(A490,'メニュー原価率'!$A$8:$A$107,0)),"メニュー原価率に無いメニューです",IF(TRIM(B490)="","食材名がありません",IF(ISNA(MATCH(B490,'食材の単価'!$A$5:$A$204,0)),"食材の単価に無い食材です",IF(NOT(ISNUMBER(C490)),"使用量がありません",IF(NOT(ISNUMBER(E490)),"食材の単価が出ていません（仕入価格・仕入量）","")))))))</f>
        <v/>
      </c>
    </row>
    <row r="491" ht="16" customHeight="1">
      <c r="A491" s="38" t="n"/>
      <c r="B491" s="38" t="n"/>
      <c r="C491" s="39" t="n"/>
      <c r="D491" s="53">
        <f>IF(B491="","",IFERROR(INDEX('食材の単価'!$D$5:$D$204,MATCH(B491,'食材の単価'!$A$5:$A$204,0))&amp;"",""))</f>
        <v/>
      </c>
      <c r="E491" s="80">
        <f>IF(B491="","",IFERROR(INDEX('食材の単価'!$G$5:$G$204,MATCH(B491,'食材の単価'!$A$5:$A$204,0)),""))</f>
        <v/>
      </c>
      <c r="F491" s="78">
        <f>IF(AND(ISNUMBER(C491),ISNUMBER(E491)),C491*E491,"")</f>
        <v/>
      </c>
      <c r="G491" s="33" t="n"/>
      <c r="H491" s="34">
        <f>IF(COUNTA(A491:C491,G491)=0,"",IF(TRIM(A491)="","メニュー名がありません",IF(ISNA(MATCH(A491,'メニュー原価率'!$A$8:$A$107,0)),"メニュー原価率に無いメニューです",IF(TRIM(B491)="","食材名がありません",IF(ISNA(MATCH(B491,'食材の単価'!$A$5:$A$204,0)),"食材の単価に無い食材です",IF(NOT(ISNUMBER(C491)),"使用量がありません",IF(NOT(ISNUMBER(E491)),"食材の単価が出ていません（仕入価格・仕入量）","")))))))</f>
        <v/>
      </c>
    </row>
    <row r="492" ht="16" customHeight="1">
      <c r="A492" s="38" t="n"/>
      <c r="B492" s="38" t="n"/>
      <c r="C492" s="39" t="n"/>
      <c r="D492" s="53">
        <f>IF(B492="","",IFERROR(INDEX('食材の単価'!$D$5:$D$204,MATCH(B492,'食材の単価'!$A$5:$A$204,0))&amp;"",""))</f>
        <v/>
      </c>
      <c r="E492" s="80">
        <f>IF(B492="","",IFERROR(INDEX('食材の単価'!$G$5:$G$204,MATCH(B492,'食材の単価'!$A$5:$A$204,0)),""))</f>
        <v/>
      </c>
      <c r="F492" s="78">
        <f>IF(AND(ISNUMBER(C492),ISNUMBER(E492)),C492*E492,"")</f>
        <v/>
      </c>
      <c r="G492" s="33" t="n"/>
      <c r="H492" s="34">
        <f>IF(COUNTA(A492:C492,G492)=0,"",IF(TRIM(A492)="","メニュー名がありません",IF(ISNA(MATCH(A492,'メニュー原価率'!$A$8:$A$107,0)),"メニュー原価率に無いメニューです",IF(TRIM(B492)="","食材名がありません",IF(ISNA(MATCH(B492,'食材の単価'!$A$5:$A$204,0)),"食材の単価に無い食材です",IF(NOT(ISNUMBER(C492)),"使用量がありません",IF(NOT(ISNUMBER(E492)),"食材の単価が出ていません（仕入価格・仕入量）","")))))))</f>
        <v/>
      </c>
    </row>
    <row r="493" ht="16" customHeight="1">
      <c r="A493" s="38" t="n"/>
      <c r="B493" s="38" t="n"/>
      <c r="C493" s="39" t="n"/>
      <c r="D493" s="53">
        <f>IF(B493="","",IFERROR(INDEX('食材の単価'!$D$5:$D$204,MATCH(B493,'食材の単価'!$A$5:$A$204,0))&amp;"",""))</f>
        <v/>
      </c>
      <c r="E493" s="80">
        <f>IF(B493="","",IFERROR(INDEX('食材の単価'!$G$5:$G$204,MATCH(B493,'食材の単価'!$A$5:$A$204,0)),""))</f>
        <v/>
      </c>
      <c r="F493" s="78">
        <f>IF(AND(ISNUMBER(C493),ISNUMBER(E493)),C493*E493,"")</f>
        <v/>
      </c>
      <c r="G493" s="33" t="n"/>
      <c r="H493" s="34">
        <f>IF(COUNTA(A493:C493,G493)=0,"",IF(TRIM(A493)="","メニュー名がありません",IF(ISNA(MATCH(A493,'メニュー原価率'!$A$8:$A$107,0)),"メニュー原価率に無いメニューです",IF(TRIM(B493)="","食材名がありません",IF(ISNA(MATCH(B493,'食材の単価'!$A$5:$A$204,0)),"食材の単価に無い食材です",IF(NOT(ISNUMBER(C493)),"使用量がありません",IF(NOT(ISNUMBER(E493)),"食材の単価が出ていません（仕入価格・仕入量）","")))))))</f>
        <v/>
      </c>
    </row>
    <row r="494" ht="16" customHeight="1">
      <c r="A494" s="38" t="n"/>
      <c r="B494" s="38" t="n"/>
      <c r="C494" s="39" t="n"/>
      <c r="D494" s="53">
        <f>IF(B494="","",IFERROR(INDEX('食材の単価'!$D$5:$D$204,MATCH(B494,'食材の単価'!$A$5:$A$204,0))&amp;"",""))</f>
        <v/>
      </c>
      <c r="E494" s="80">
        <f>IF(B494="","",IFERROR(INDEX('食材の単価'!$G$5:$G$204,MATCH(B494,'食材の単価'!$A$5:$A$204,0)),""))</f>
        <v/>
      </c>
      <c r="F494" s="78">
        <f>IF(AND(ISNUMBER(C494),ISNUMBER(E494)),C494*E494,"")</f>
        <v/>
      </c>
      <c r="G494" s="33" t="n"/>
      <c r="H494" s="34">
        <f>IF(COUNTA(A494:C494,G494)=0,"",IF(TRIM(A494)="","メニュー名がありません",IF(ISNA(MATCH(A494,'メニュー原価率'!$A$8:$A$107,0)),"メニュー原価率に無いメニューです",IF(TRIM(B494)="","食材名がありません",IF(ISNA(MATCH(B494,'食材の単価'!$A$5:$A$204,0)),"食材の単価に無い食材です",IF(NOT(ISNUMBER(C494)),"使用量がありません",IF(NOT(ISNUMBER(E494)),"食材の単価が出ていません（仕入価格・仕入量）","")))))))</f>
        <v/>
      </c>
    </row>
    <row r="495" ht="16" customHeight="1">
      <c r="A495" s="38" t="n"/>
      <c r="B495" s="38" t="n"/>
      <c r="C495" s="39" t="n"/>
      <c r="D495" s="53">
        <f>IF(B495="","",IFERROR(INDEX('食材の単価'!$D$5:$D$204,MATCH(B495,'食材の単価'!$A$5:$A$204,0))&amp;"",""))</f>
        <v/>
      </c>
      <c r="E495" s="80">
        <f>IF(B495="","",IFERROR(INDEX('食材の単価'!$G$5:$G$204,MATCH(B495,'食材の単価'!$A$5:$A$204,0)),""))</f>
        <v/>
      </c>
      <c r="F495" s="78">
        <f>IF(AND(ISNUMBER(C495),ISNUMBER(E495)),C495*E495,"")</f>
        <v/>
      </c>
      <c r="G495" s="33" t="n"/>
      <c r="H495" s="34">
        <f>IF(COUNTA(A495:C495,G495)=0,"",IF(TRIM(A495)="","メニュー名がありません",IF(ISNA(MATCH(A495,'メニュー原価率'!$A$8:$A$107,0)),"メニュー原価率に無いメニューです",IF(TRIM(B495)="","食材名がありません",IF(ISNA(MATCH(B495,'食材の単価'!$A$5:$A$204,0)),"食材の単価に無い食材です",IF(NOT(ISNUMBER(C495)),"使用量がありません",IF(NOT(ISNUMBER(E495)),"食材の単価が出ていません（仕入価格・仕入量）","")))))))</f>
        <v/>
      </c>
    </row>
    <row r="496" ht="16" customHeight="1">
      <c r="A496" s="38" t="n"/>
      <c r="B496" s="38" t="n"/>
      <c r="C496" s="39" t="n"/>
      <c r="D496" s="53">
        <f>IF(B496="","",IFERROR(INDEX('食材の単価'!$D$5:$D$204,MATCH(B496,'食材の単価'!$A$5:$A$204,0))&amp;"",""))</f>
        <v/>
      </c>
      <c r="E496" s="80">
        <f>IF(B496="","",IFERROR(INDEX('食材の単価'!$G$5:$G$204,MATCH(B496,'食材の単価'!$A$5:$A$204,0)),""))</f>
        <v/>
      </c>
      <c r="F496" s="78">
        <f>IF(AND(ISNUMBER(C496),ISNUMBER(E496)),C496*E496,"")</f>
        <v/>
      </c>
      <c r="G496" s="33" t="n"/>
      <c r="H496" s="34">
        <f>IF(COUNTA(A496:C496,G496)=0,"",IF(TRIM(A496)="","メニュー名がありません",IF(ISNA(MATCH(A496,'メニュー原価率'!$A$8:$A$107,0)),"メニュー原価率に無いメニューです",IF(TRIM(B496)="","食材名がありません",IF(ISNA(MATCH(B496,'食材の単価'!$A$5:$A$204,0)),"食材の単価に無い食材です",IF(NOT(ISNUMBER(C496)),"使用量がありません",IF(NOT(ISNUMBER(E496)),"食材の単価が出ていません（仕入価格・仕入量）","")))))))</f>
        <v/>
      </c>
    </row>
    <row r="497" ht="16" customHeight="1">
      <c r="A497" s="38" t="n"/>
      <c r="B497" s="38" t="n"/>
      <c r="C497" s="39" t="n"/>
      <c r="D497" s="53">
        <f>IF(B497="","",IFERROR(INDEX('食材の単価'!$D$5:$D$204,MATCH(B497,'食材の単価'!$A$5:$A$204,0))&amp;"",""))</f>
        <v/>
      </c>
      <c r="E497" s="80">
        <f>IF(B497="","",IFERROR(INDEX('食材の単価'!$G$5:$G$204,MATCH(B497,'食材の単価'!$A$5:$A$204,0)),""))</f>
        <v/>
      </c>
      <c r="F497" s="78">
        <f>IF(AND(ISNUMBER(C497),ISNUMBER(E497)),C497*E497,"")</f>
        <v/>
      </c>
      <c r="G497" s="33" t="n"/>
      <c r="H497" s="34">
        <f>IF(COUNTA(A497:C497,G497)=0,"",IF(TRIM(A497)="","メニュー名がありません",IF(ISNA(MATCH(A497,'メニュー原価率'!$A$8:$A$107,0)),"メニュー原価率に無いメニューです",IF(TRIM(B497)="","食材名がありません",IF(ISNA(MATCH(B497,'食材の単価'!$A$5:$A$204,0)),"食材の単価に無い食材です",IF(NOT(ISNUMBER(C497)),"使用量がありません",IF(NOT(ISNUMBER(E497)),"食材の単価が出ていません（仕入価格・仕入量）","")))))))</f>
        <v/>
      </c>
    </row>
    <row r="498" ht="16" customHeight="1">
      <c r="A498" s="38" t="n"/>
      <c r="B498" s="38" t="n"/>
      <c r="C498" s="39" t="n"/>
      <c r="D498" s="53">
        <f>IF(B498="","",IFERROR(INDEX('食材の単価'!$D$5:$D$204,MATCH(B498,'食材の単価'!$A$5:$A$204,0))&amp;"",""))</f>
        <v/>
      </c>
      <c r="E498" s="80">
        <f>IF(B498="","",IFERROR(INDEX('食材の単価'!$G$5:$G$204,MATCH(B498,'食材の単価'!$A$5:$A$204,0)),""))</f>
        <v/>
      </c>
      <c r="F498" s="78">
        <f>IF(AND(ISNUMBER(C498),ISNUMBER(E498)),C498*E498,"")</f>
        <v/>
      </c>
      <c r="G498" s="33" t="n"/>
      <c r="H498" s="34">
        <f>IF(COUNTA(A498:C498,G498)=0,"",IF(TRIM(A498)="","メニュー名がありません",IF(ISNA(MATCH(A498,'メニュー原価率'!$A$8:$A$107,0)),"メニュー原価率に無いメニューです",IF(TRIM(B498)="","食材名がありません",IF(ISNA(MATCH(B498,'食材の単価'!$A$5:$A$204,0)),"食材の単価に無い食材です",IF(NOT(ISNUMBER(C498)),"使用量がありません",IF(NOT(ISNUMBER(E498)),"食材の単価が出ていません（仕入価格・仕入量）","")))))))</f>
        <v/>
      </c>
    </row>
    <row r="499" ht="16" customHeight="1">
      <c r="A499" s="38" t="n"/>
      <c r="B499" s="38" t="n"/>
      <c r="C499" s="39" t="n"/>
      <c r="D499" s="53">
        <f>IF(B499="","",IFERROR(INDEX('食材の単価'!$D$5:$D$204,MATCH(B499,'食材の単価'!$A$5:$A$204,0))&amp;"",""))</f>
        <v/>
      </c>
      <c r="E499" s="80">
        <f>IF(B499="","",IFERROR(INDEX('食材の単価'!$G$5:$G$204,MATCH(B499,'食材の単価'!$A$5:$A$204,0)),""))</f>
        <v/>
      </c>
      <c r="F499" s="78">
        <f>IF(AND(ISNUMBER(C499),ISNUMBER(E499)),C499*E499,"")</f>
        <v/>
      </c>
      <c r="G499" s="33" t="n"/>
      <c r="H499" s="34">
        <f>IF(COUNTA(A499:C499,G499)=0,"",IF(TRIM(A499)="","メニュー名がありません",IF(ISNA(MATCH(A499,'メニュー原価率'!$A$8:$A$107,0)),"メニュー原価率に無いメニューです",IF(TRIM(B499)="","食材名がありません",IF(ISNA(MATCH(B499,'食材の単価'!$A$5:$A$204,0)),"食材の単価に無い食材です",IF(NOT(ISNUMBER(C499)),"使用量がありません",IF(NOT(ISNUMBER(E499)),"食材の単価が出ていません（仕入価格・仕入量）","")))))))</f>
        <v/>
      </c>
    </row>
    <row r="500" ht="16" customHeight="1">
      <c r="A500" s="38" t="n"/>
      <c r="B500" s="38" t="n"/>
      <c r="C500" s="39" t="n"/>
      <c r="D500" s="53">
        <f>IF(B500="","",IFERROR(INDEX('食材の単価'!$D$5:$D$204,MATCH(B500,'食材の単価'!$A$5:$A$204,0))&amp;"",""))</f>
        <v/>
      </c>
      <c r="E500" s="80">
        <f>IF(B500="","",IFERROR(INDEX('食材の単価'!$G$5:$G$204,MATCH(B500,'食材の単価'!$A$5:$A$204,0)),""))</f>
        <v/>
      </c>
      <c r="F500" s="78">
        <f>IF(AND(ISNUMBER(C500),ISNUMBER(E500)),C500*E500,"")</f>
        <v/>
      </c>
      <c r="G500" s="33" t="n"/>
      <c r="H500" s="34">
        <f>IF(COUNTA(A500:C500,G500)=0,"",IF(TRIM(A500)="","メニュー名がありません",IF(ISNA(MATCH(A500,'メニュー原価率'!$A$8:$A$107,0)),"メニュー原価率に無いメニューです",IF(TRIM(B500)="","食材名がありません",IF(ISNA(MATCH(B500,'食材の単価'!$A$5:$A$204,0)),"食材の単価に無い食材です",IF(NOT(ISNUMBER(C500)),"使用量がありません",IF(NOT(ISNUMBER(E500)),"食材の単価が出ていません（仕入価格・仕入量）","")))))))</f>
        <v/>
      </c>
    </row>
    <row r="501" ht="16" customHeight="1">
      <c r="A501" s="38" t="n"/>
      <c r="B501" s="38" t="n"/>
      <c r="C501" s="39" t="n"/>
      <c r="D501" s="53">
        <f>IF(B501="","",IFERROR(INDEX('食材の単価'!$D$5:$D$204,MATCH(B501,'食材の単価'!$A$5:$A$204,0))&amp;"",""))</f>
        <v/>
      </c>
      <c r="E501" s="80">
        <f>IF(B501="","",IFERROR(INDEX('食材の単価'!$G$5:$G$204,MATCH(B501,'食材の単価'!$A$5:$A$204,0)),""))</f>
        <v/>
      </c>
      <c r="F501" s="78">
        <f>IF(AND(ISNUMBER(C501),ISNUMBER(E501)),C501*E501,"")</f>
        <v/>
      </c>
      <c r="G501" s="33" t="n"/>
      <c r="H501" s="34">
        <f>IF(COUNTA(A501:C501,G501)=0,"",IF(TRIM(A501)="","メニュー名がありません",IF(ISNA(MATCH(A501,'メニュー原価率'!$A$8:$A$107,0)),"メニュー原価率に無いメニューです",IF(TRIM(B501)="","食材名がありません",IF(ISNA(MATCH(B501,'食材の単価'!$A$5:$A$204,0)),"食材の単価に無い食材です",IF(NOT(ISNUMBER(C501)),"使用量がありません",IF(NOT(ISNUMBER(E501)),"食材の単価が出ていません（仕入価格・仕入量）","")))))))</f>
        <v/>
      </c>
    </row>
    <row r="502" ht="16" customHeight="1">
      <c r="A502" s="38" t="n"/>
      <c r="B502" s="38" t="n"/>
      <c r="C502" s="39" t="n"/>
      <c r="D502" s="53">
        <f>IF(B502="","",IFERROR(INDEX('食材の単価'!$D$5:$D$204,MATCH(B502,'食材の単価'!$A$5:$A$204,0))&amp;"",""))</f>
        <v/>
      </c>
      <c r="E502" s="80">
        <f>IF(B502="","",IFERROR(INDEX('食材の単価'!$G$5:$G$204,MATCH(B502,'食材の単価'!$A$5:$A$204,0)),""))</f>
        <v/>
      </c>
      <c r="F502" s="78">
        <f>IF(AND(ISNUMBER(C502),ISNUMBER(E502)),C502*E502,"")</f>
        <v/>
      </c>
      <c r="G502" s="33" t="n"/>
      <c r="H502" s="34">
        <f>IF(COUNTA(A502:C502,G502)=0,"",IF(TRIM(A502)="","メニュー名がありません",IF(ISNA(MATCH(A502,'メニュー原価率'!$A$8:$A$107,0)),"メニュー原価率に無いメニューです",IF(TRIM(B502)="","食材名がありません",IF(ISNA(MATCH(B502,'食材の単価'!$A$5:$A$204,0)),"食材の単価に無い食材です",IF(NOT(ISNUMBER(C502)),"使用量がありません",IF(NOT(ISNUMBER(E502)),"食材の単価が出ていません（仕入価格・仕入量）","")))))))</f>
        <v/>
      </c>
    </row>
    <row r="503" ht="16" customHeight="1">
      <c r="A503" s="38" t="n"/>
      <c r="B503" s="38" t="n"/>
      <c r="C503" s="39" t="n"/>
      <c r="D503" s="53">
        <f>IF(B503="","",IFERROR(INDEX('食材の単価'!$D$5:$D$204,MATCH(B503,'食材の単価'!$A$5:$A$204,0))&amp;"",""))</f>
        <v/>
      </c>
      <c r="E503" s="80">
        <f>IF(B503="","",IFERROR(INDEX('食材の単価'!$G$5:$G$204,MATCH(B503,'食材の単価'!$A$5:$A$204,0)),""))</f>
        <v/>
      </c>
      <c r="F503" s="78">
        <f>IF(AND(ISNUMBER(C503),ISNUMBER(E503)),C503*E503,"")</f>
        <v/>
      </c>
      <c r="G503" s="33" t="n"/>
      <c r="H503" s="34">
        <f>IF(COUNTA(A503:C503,G503)=0,"",IF(TRIM(A503)="","メニュー名がありません",IF(ISNA(MATCH(A503,'メニュー原価率'!$A$8:$A$107,0)),"メニュー原価率に無いメニューです",IF(TRIM(B503)="","食材名がありません",IF(ISNA(MATCH(B503,'食材の単価'!$A$5:$A$204,0)),"食材の単価に無い食材です",IF(NOT(ISNUMBER(C503)),"使用量がありません",IF(NOT(ISNUMBER(E503)),"食材の単価が出ていません（仕入価格・仕入量）","")))))))</f>
        <v/>
      </c>
    </row>
    <row r="504" ht="16" customHeight="1">
      <c r="A504" s="38" t="n"/>
      <c r="B504" s="38" t="n"/>
      <c r="C504" s="39" t="n"/>
      <c r="D504" s="53">
        <f>IF(B504="","",IFERROR(INDEX('食材の単価'!$D$5:$D$204,MATCH(B504,'食材の単価'!$A$5:$A$204,0))&amp;"",""))</f>
        <v/>
      </c>
      <c r="E504" s="80">
        <f>IF(B504="","",IFERROR(INDEX('食材の単価'!$G$5:$G$204,MATCH(B504,'食材の単価'!$A$5:$A$204,0)),""))</f>
        <v/>
      </c>
      <c r="F504" s="78">
        <f>IF(AND(ISNUMBER(C504),ISNUMBER(E504)),C504*E504,"")</f>
        <v/>
      </c>
      <c r="G504" s="33" t="n"/>
      <c r="H504" s="34">
        <f>IF(COUNTA(A504:C504,G504)=0,"",IF(TRIM(A504)="","メニュー名がありません",IF(ISNA(MATCH(A504,'メニュー原価率'!$A$8:$A$107,0)),"メニュー原価率に無いメニューです",IF(TRIM(B504)="","食材名がありません",IF(ISNA(MATCH(B504,'食材の単価'!$A$5:$A$204,0)),"食材の単価に無い食材です",IF(NOT(ISNUMBER(C504)),"使用量がありません",IF(NOT(ISNUMBER(E504)),"食材の単価が出ていません（仕入価格・仕入量）","")))))))</f>
        <v/>
      </c>
    </row>
    <row r="505" ht="16" customHeight="1">
      <c r="A505" s="38" t="n"/>
      <c r="B505" s="38" t="n"/>
      <c r="C505" s="39" t="n"/>
      <c r="D505" s="53">
        <f>IF(B505="","",IFERROR(INDEX('食材の単価'!$D$5:$D$204,MATCH(B505,'食材の単価'!$A$5:$A$204,0))&amp;"",""))</f>
        <v/>
      </c>
      <c r="E505" s="80">
        <f>IF(B505="","",IFERROR(INDEX('食材の単価'!$G$5:$G$204,MATCH(B505,'食材の単価'!$A$5:$A$204,0)),""))</f>
        <v/>
      </c>
      <c r="F505" s="78">
        <f>IF(AND(ISNUMBER(C505),ISNUMBER(E505)),C505*E505,"")</f>
        <v/>
      </c>
      <c r="G505" s="33" t="n"/>
      <c r="H505" s="34">
        <f>IF(COUNTA(A505:C505,G505)=0,"",IF(TRIM(A505)="","メニュー名がありません",IF(ISNA(MATCH(A505,'メニュー原価率'!$A$8:$A$107,0)),"メニュー原価率に無いメニューです",IF(TRIM(B505)="","食材名がありません",IF(ISNA(MATCH(B505,'食材の単価'!$A$5:$A$204,0)),"食材の単価に無い食材です",IF(NOT(ISNUMBER(C505)),"使用量がありません",IF(NOT(ISNUMBER(E505)),"食材の単価が出ていません（仕入価格・仕入量）","")))))))</f>
        <v/>
      </c>
    </row>
    <row r="506" ht="16" customHeight="1">
      <c r="A506" s="38" t="n"/>
      <c r="B506" s="38" t="n"/>
      <c r="C506" s="39" t="n"/>
      <c r="D506" s="53">
        <f>IF(B506="","",IFERROR(INDEX('食材の単価'!$D$5:$D$204,MATCH(B506,'食材の単価'!$A$5:$A$204,0))&amp;"",""))</f>
        <v/>
      </c>
      <c r="E506" s="80">
        <f>IF(B506="","",IFERROR(INDEX('食材の単価'!$G$5:$G$204,MATCH(B506,'食材の単価'!$A$5:$A$204,0)),""))</f>
        <v/>
      </c>
      <c r="F506" s="78">
        <f>IF(AND(ISNUMBER(C506),ISNUMBER(E506)),C506*E506,"")</f>
        <v/>
      </c>
      <c r="G506" s="33" t="n"/>
      <c r="H506" s="34">
        <f>IF(COUNTA(A506:C506,G506)=0,"",IF(TRIM(A506)="","メニュー名がありません",IF(ISNA(MATCH(A506,'メニュー原価率'!$A$8:$A$107,0)),"メニュー原価率に無いメニューです",IF(TRIM(B506)="","食材名がありません",IF(ISNA(MATCH(B506,'食材の単価'!$A$5:$A$204,0)),"食材の単価に無い食材です",IF(NOT(ISNUMBER(C506)),"使用量がありません",IF(NOT(ISNUMBER(E506)),"食材の単価が出ていません（仕入価格・仕入量）","")))))))</f>
        <v/>
      </c>
    </row>
    <row r="507" ht="16" customHeight="1">
      <c r="A507" s="38" t="n"/>
      <c r="B507" s="38" t="n"/>
      <c r="C507" s="39" t="n"/>
      <c r="D507" s="53">
        <f>IF(B507="","",IFERROR(INDEX('食材の単価'!$D$5:$D$204,MATCH(B507,'食材の単価'!$A$5:$A$204,0))&amp;"",""))</f>
        <v/>
      </c>
      <c r="E507" s="80">
        <f>IF(B507="","",IFERROR(INDEX('食材の単価'!$G$5:$G$204,MATCH(B507,'食材の単価'!$A$5:$A$204,0)),""))</f>
        <v/>
      </c>
      <c r="F507" s="78">
        <f>IF(AND(ISNUMBER(C507),ISNUMBER(E507)),C507*E507,"")</f>
        <v/>
      </c>
      <c r="G507" s="33" t="n"/>
      <c r="H507" s="34">
        <f>IF(COUNTA(A507:C507,G507)=0,"",IF(TRIM(A507)="","メニュー名がありません",IF(ISNA(MATCH(A507,'メニュー原価率'!$A$8:$A$107,0)),"メニュー原価率に無いメニューです",IF(TRIM(B507)="","食材名がありません",IF(ISNA(MATCH(B507,'食材の単価'!$A$5:$A$204,0)),"食材の単価に無い食材です",IF(NOT(ISNUMBER(C507)),"使用量がありません",IF(NOT(ISNUMBER(E507)),"食材の単価が出ていません（仕入価格・仕入量）","")))))))</f>
        <v/>
      </c>
    </row>
    <row r="508" ht="16" customHeight="1">
      <c r="A508" s="38" t="n"/>
      <c r="B508" s="38" t="n"/>
      <c r="C508" s="39" t="n"/>
      <c r="D508" s="53">
        <f>IF(B508="","",IFERROR(INDEX('食材の単価'!$D$5:$D$204,MATCH(B508,'食材の単価'!$A$5:$A$204,0))&amp;"",""))</f>
        <v/>
      </c>
      <c r="E508" s="80">
        <f>IF(B508="","",IFERROR(INDEX('食材の単価'!$G$5:$G$204,MATCH(B508,'食材の単価'!$A$5:$A$204,0)),""))</f>
        <v/>
      </c>
      <c r="F508" s="78">
        <f>IF(AND(ISNUMBER(C508),ISNUMBER(E508)),C508*E508,"")</f>
        <v/>
      </c>
      <c r="G508" s="33" t="n"/>
      <c r="H508" s="34">
        <f>IF(COUNTA(A508:C508,G508)=0,"",IF(TRIM(A508)="","メニュー名がありません",IF(ISNA(MATCH(A508,'メニュー原価率'!$A$8:$A$107,0)),"メニュー原価率に無いメニューです",IF(TRIM(B508)="","食材名がありません",IF(ISNA(MATCH(B508,'食材の単価'!$A$5:$A$204,0)),"食材の単価に無い食材です",IF(NOT(ISNUMBER(C508)),"使用量がありません",IF(NOT(ISNUMBER(E508)),"食材の単価が出ていません（仕入価格・仕入量）","")))))))</f>
        <v/>
      </c>
    </row>
    <row r="509" ht="16" customHeight="1">
      <c r="A509" s="38" t="n"/>
      <c r="B509" s="38" t="n"/>
      <c r="C509" s="39" t="n"/>
      <c r="D509" s="53">
        <f>IF(B509="","",IFERROR(INDEX('食材の単価'!$D$5:$D$204,MATCH(B509,'食材の単価'!$A$5:$A$204,0))&amp;"",""))</f>
        <v/>
      </c>
      <c r="E509" s="80">
        <f>IF(B509="","",IFERROR(INDEX('食材の単価'!$G$5:$G$204,MATCH(B509,'食材の単価'!$A$5:$A$204,0)),""))</f>
        <v/>
      </c>
      <c r="F509" s="78">
        <f>IF(AND(ISNUMBER(C509),ISNUMBER(E509)),C509*E509,"")</f>
        <v/>
      </c>
      <c r="G509" s="33" t="n"/>
      <c r="H509" s="34">
        <f>IF(COUNTA(A509:C509,G509)=0,"",IF(TRIM(A509)="","メニュー名がありません",IF(ISNA(MATCH(A509,'メニュー原価率'!$A$8:$A$107,0)),"メニュー原価率に無いメニューです",IF(TRIM(B509)="","食材名がありません",IF(ISNA(MATCH(B509,'食材の単価'!$A$5:$A$204,0)),"食材の単価に無い食材です",IF(NOT(ISNUMBER(C509)),"使用量がありません",IF(NOT(ISNUMBER(E509)),"食材の単価が出ていません（仕入価格・仕入量）","")))))))</f>
        <v/>
      </c>
    </row>
    <row r="510" ht="16" customHeight="1">
      <c r="A510" s="38" t="n"/>
      <c r="B510" s="38" t="n"/>
      <c r="C510" s="39" t="n"/>
      <c r="D510" s="53">
        <f>IF(B510="","",IFERROR(INDEX('食材の単価'!$D$5:$D$204,MATCH(B510,'食材の単価'!$A$5:$A$204,0))&amp;"",""))</f>
        <v/>
      </c>
      <c r="E510" s="80">
        <f>IF(B510="","",IFERROR(INDEX('食材の単価'!$G$5:$G$204,MATCH(B510,'食材の単価'!$A$5:$A$204,0)),""))</f>
        <v/>
      </c>
      <c r="F510" s="78">
        <f>IF(AND(ISNUMBER(C510),ISNUMBER(E510)),C510*E510,"")</f>
        <v/>
      </c>
      <c r="G510" s="33" t="n"/>
      <c r="H510" s="34">
        <f>IF(COUNTA(A510:C510,G510)=0,"",IF(TRIM(A510)="","メニュー名がありません",IF(ISNA(MATCH(A510,'メニュー原価率'!$A$8:$A$107,0)),"メニュー原価率に無いメニューです",IF(TRIM(B510)="","食材名がありません",IF(ISNA(MATCH(B510,'食材の単価'!$A$5:$A$204,0)),"食材の単価に無い食材です",IF(NOT(ISNUMBER(C510)),"使用量がありません",IF(NOT(ISNUMBER(E510)),"食材の単価が出ていません（仕入価格・仕入量）","")))))))</f>
        <v/>
      </c>
    </row>
    <row r="511" ht="16" customHeight="1">
      <c r="A511" s="38" t="n"/>
      <c r="B511" s="38" t="n"/>
      <c r="C511" s="39" t="n"/>
      <c r="D511" s="53">
        <f>IF(B511="","",IFERROR(INDEX('食材の単価'!$D$5:$D$204,MATCH(B511,'食材の単価'!$A$5:$A$204,0))&amp;"",""))</f>
        <v/>
      </c>
      <c r="E511" s="80">
        <f>IF(B511="","",IFERROR(INDEX('食材の単価'!$G$5:$G$204,MATCH(B511,'食材の単価'!$A$5:$A$204,0)),""))</f>
        <v/>
      </c>
      <c r="F511" s="78">
        <f>IF(AND(ISNUMBER(C511),ISNUMBER(E511)),C511*E511,"")</f>
        <v/>
      </c>
      <c r="G511" s="33" t="n"/>
      <c r="H511" s="34">
        <f>IF(COUNTA(A511:C511,G511)=0,"",IF(TRIM(A511)="","メニュー名がありません",IF(ISNA(MATCH(A511,'メニュー原価率'!$A$8:$A$107,0)),"メニュー原価率に無いメニューです",IF(TRIM(B511)="","食材名がありません",IF(ISNA(MATCH(B511,'食材の単価'!$A$5:$A$204,0)),"食材の単価に無い食材です",IF(NOT(ISNUMBER(C511)),"使用量がありません",IF(NOT(ISNUMBER(E511)),"食材の単価が出ていません（仕入価格・仕入量）","")))))))</f>
        <v/>
      </c>
    </row>
    <row r="512" ht="16" customHeight="1">
      <c r="A512" s="38" t="n"/>
      <c r="B512" s="38" t="n"/>
      <c r="C512" s="39" t="n"/>
      <c r="D512" s="53">
        <f>IF(B512="","",IFERROR(INDEX('食材の単価'!$D$5:$D$204,MATCH(B512,'食材の単価'!$A$5:$A$204,0))&amp;"",""))</f>
        <v/>
      </c>
      <c r="E512" s="80">
        <f>IF(B512="","",IFERROR(INDEX('食材の単価'!$G$5:$G$204,MATCH(B512,'食材の単価'!$A$5:$A$204,0)),""))</f>
        <v/>
      </c>
      <c r="F512" s="78">
        <f>IF(AND(ISNUMBER(C512),ISNUMBER(E512)),C512*E512,"")</f>
        <v/>
      </c>
      <c r="G512" s="33" t="n"/>
      <c r="H512" s="34">
        <f>IF(COUNTA(A512:C512,G512)=0,"",IF(TRIM(A512)="","メニュー名がありません",IF(ISNA(MATCH(A512,'メニュー原価率'!$A$8:$A$107,0)),"メニュー原価率に無いメニューです",IF(TRIM(B512)="","食材名がありません",IF(ISNA(MATCH(B512,'食材の単価'!$A$5:$A$204,0)),"食材の単価に無い食材です",IF(NOT(ISNUMBER(C512)),"使用量がありません",IF(NOT(ISNUMBER(E512)),"食材の単価が出ていません（仕入価格・仕入量）","")))))))</f>
        <v/>
      </c>
    </row>
    <row r="513" ht="16" customHeight="1">
      <c r="A513" s="38" t="n"/>
      <c r="B513" s="38" t="n"/>
      <c r="C513" s="39" t="n"/>
      <c r="D513" s="53">
        <f>IF(B513="","",IFERROR(INDEX('食材の単価'!$D$5:$D$204,MATCH(B513,'食材の単価'!$A$5:$A$204,0))&amp;"",""))</f>
        <v/>
      </c>
      <c r="E513" s="80">
        <f>IF(B513="","",IFERROR(INDEX('食材の単価'!$G$5:$G$204,MATCH(B513,'食材の単価'!$A$5:$A$204,0)),""))</f>
        <v/>
      </c>
      <c r="F513" s="78">
        <f>IF(AND(ISNUMBER(C513),ISNUMBER(E513)),C513*E513,"")</f>
        <v/>
      </c>
      <c r="G513" s="33" t="n"/>
      <c r="H513" s="34">
        <f>IF(COUNTA(A513:C513,G513)=0,"",IF(TRIM(A513)="","メニュー名がありません",IF(ISNA(MATCH(A513,'メニュー原価率'!$A$8:$A$107,0)),"メニュー原価率に無いメニューです",IF(TRIM(B513)="","食材名がありません",IF(ISNA(MATCH(B513,'食材の単価'!$A$5:$A$204,0)),"食材の単価に無い食材です",IF(NOT(ISNUMBER(C513)),"使用量がありません",IF(NOT(ISNUMBER(E513)),"食材の単価が出ていません（仕入価格・仕入量）","")))))))</f>
        <v/>
      </c>
    </row>
    <row r="514" ht="16" customHeight="1">
      <c r="A514" s="38" t="n"/>
      <c r="B514" s="38" t="n"/>
      <c r="C514" s="39" t="n"/>
      <c r="D514" s="53">
        <f>IF(B514="","",IFERROR(INDEX('食材の単価'!$D$5:$D$204,MATCH(B514,'食材の単価'!$A$5:$A$204,0))&amp;"",""))</f>
        <v/>
      </c>
      <c r="E514" s="80">
        <f>IF(B514="","",IFERROR(INDEX('食材の単価'!$G$5:$G$204,MATCH(B514,'食材の単価'!$A$5:$A$204,0)),""))</f>
        <v/>
      </c>
      <c r="F514" s="78">
        <f>IF(AND(ISNUMBER(C514),ISNUMBER(E514)),C514*E514,"")</f>
        <v/>
      </c>
      <c r="G514" s="33" t="n"/>
      <c r="H514" s="34">
        <f>IF(COUNTA(A514:C514,G514)=0,"",IF(TRIM(A514)="","メニュー名がありません",IF(ISNA(MATCH(A514,'メニュー原価率'!$A$8:$A$107,0)),"メニュー原価率に無いメニューです",IF(TRIM(B514)="","食材名がありません",IF(ISNA(MATCH(B514,'食材の単価'!$A$5:$A$204,0)),"食材の単価に無い食材です",IF(NOT(ISNUMBER(C514)),"使用量がありません",IF(NOT(ISNUMBER(E514)),"食材の単価が出ていません（仕入価格・仕入量）","")))))))</f>
        <v/>
      </c>
    </row>
    <row r="515" ht="16" customHeight="1">
      <c r="A515" s="38" t="n"/>
      <c r="B515" s="38" t="n"/>
      <c r="C515" s="39" t="n"/>
      <c r="D515" s="53">
        <f>IF(B515="","",IFERROR(INDEX('食材の単価'!$D$5:$D$204,MATCH(B515,'食材の単価'!$A$5:$A$204,0))&amp;"",""))</f>
        <v/>
      </c>
      <c r="E515" s="80">
        <f>IF(B515="","",IFERROR(INDEX('食材の単価'!$G$5:$G$204,MATCH(B515,'食材の単価'!$A$5:$A$204,0)),""))</f>
        <v/>
      </c>
      <c r="F515" s="78">
        <f>IF(AND(ISNUMBER(C515),ISNUMBER(E515)),C515*E515,"")</f>
        <v/>
      </c>
      <c r="G515" s="33" t="n"/>
      <c r="H515" s="34">
        <f>IF(COUNTA(A515:C515,G515)=0,"",IF(TRIM(A515)="","メニュー名がありません",IF(ISNA(MATCH(A515,'メニュー原価率'!$A$8:$A$107,0)),"メニュー原価率に無いメニューです",IF(TRIM(B515)="","食材名がありません",IF(ISNA(MATCH(B515,'食材の単価'!$A$5:$A$204,0)),"食材の単価に無い食材です",IF(NOT(ISNUMBER(C515)),"使用量がありません",IF(NOT(ISNUMBER(E515)),"食材の単価が出ていません（仕入価格・仕入量）","")))))))</f>
        <v/>
      </c>
    </row>
    <row r="516" ht="16" customHeight="1">
      <c r="A516" s="38" t="n"/>
      <c r="B516" s="38" t="n"/>
      <c r="C516" s="39" t="n"/>
      <c r="D516" s="53">
        <f>IF(B516="","",IFERROR(INDEX('食材の単価'!$D$5:$D$204,MATCH(B516,'食材の単価'!$A$5:$A$204,0))&amp;"",""))</f>
        <v/>
      </c>
      <c r="E516" s="80">
        <f>IF(B516="","",IFERROR(INDEX('食材の単価'!$G$5:$G$204,MATCH(B516,'食材の単価'!$A$5:$A$204,0)),""))</f>
        <v/>
      </c>
      <c r="F516" s="78">
        <f>IF(AND(ISNUMBER(C516),ISNUMBER(E516)),C516*E516,"")</f>
        <v/>
      </c>
      <c r="G516" s="33" t="n"/>
      <c r="H516" s="34">
        <f>IF(COUNTA(A516:C516,G516)=0,"",IF(TRIM(A516)="","メニュー名がありません",IF(ISNA(MATCH(A516,'メニュー原価率'!$A$8:$A$107,0)),"メニュー原価率に無いメニューです",IF(TRIM(B516)="","食材名がありません",IF(ISNA(MATCH(B516,'食材の単価'!$A$5:$A$204,0)),"食材の単価に無い食材です",IF(NOT(ISNUMBER(C516)),"使用量がありません",IF(NOT(ISNUMBER(E516)),"食材の単価が出ていません（仕入価格・仕入量）","")))))))</f>
        <v/>
      </c>
    </row>
    <row r="517" ht="16" customHeight="1">
      <c r="A517" s="38" t="n"/>
      <c r="B517" s="38" t="n"/>
      <c r="C517" s="39" t="n"/>
      <c r="D517" s="53">
        <f>IF(B517="","",IFERROR(INDEX('食材の単価'!$D$5:$D$204,MATCH(B517,'食材の単価'!$A$5:$A$204,0))&amp;"",""))</f>
        <v/>
      </c>
      <c r="E517" s="80">
        <f>IF(B517="","",IFERROR(INDEX('食材の単価'!$G$5:$G$204,MATCH(B517,'食材の単価'!$A$5:$A$204,0)),""))</f>
        <v/>
      </c>
      <c r="F517" s="78">
        <f>IF(AND(ISNUMBER(C517),ISNUMBER(E517)),C517*E517,"")</f>
        <v/>
      </c>
      <c r="G517" s="33" t="n"/>
      <c r="H517" s="34">
        <f>IF(COUNTA(A517:C517,G517)=0,"",IF(TRIM(A517)="","メニュー名がありません",IF(ISNA(MATCH(A517,'メニュー原価率'!$A$8:$A$107,0)),"メニュー原価率に無いメニューです",IF(TRIM(B517)="","食材名がありません",IF(ISNA(MATCH(B517,'食材の単価'!$A$5:$A$204,0)),"食材の単価に無い食材です",IF(NOT(ISNUMBER(C517)),"使用量がありません",IF(NOT(ISNUMBER(E517)),"食材の単価が出ていません（仕入価格・仕入量）","")))))))</f>
        <v/>
      </c>
    </row>
    <row r="518" ht="16" customHeight="1">
      <c r="A518" s="38" t="n"/>
      <c r="B518" s="38" t="n"/>
      <c r="C518" s="39" t="n"/>
      <c r="D518" s="53">
        <f>IF(B518="","",IFERROR(INDEX('食材の単価'!$D$5:$D$204,MATCH(B518,'食材の単価'!$A$5:$A$204,0))&amp;"",""))</f>
        <v/>
      </c>
      <c r="E518" s="80">
        <f>IF(B518="","",IFERROR(INDEX('食材の単価'!$G$5:$G$204,MATCH(B518,'食材の単価'!$A$5:$A$204,0)),""))</f>
        <v/>
      </c>
      <c r="F518" s="78">
        <f>IF(AND(ISNUMBER(C518),ISNUMBER(E518)),C518*E518,"")</f>
        <v/>
      </c>
      <c r="G518" s="33" t="n"/>
      <c r="H518" s="34">
        <f>IF(COUNTA(A518:C518,G518)=0,"",IF(TRIM(A518)="","メニュー名がありません",IF(ISNA(MATCH(A518,'メニュー原価率'!$A$8:$A$107,0)),"メニュー原価率に無いメニューです",IF(TRIM(B518)="","食材名がありません",IF(ISNA(MATCH(B518,'食材の単価'!$A$5:$A$204,0)),"食材の単価に無い食材です",IF(NOT(ISNUMBER(C518)),"使用量がありません",IF(NOT(ISNUMBER(E518)),"食材の単価が出ていません（仕入価格・仕入量）","")))))))</f>
        <v/>
      </c>
    </row>
    <row r="519" ht="16" customHeight="1">
      <c r="A519" s="38" t="n"/>
      <c r="B519" s="38" t="n"/>
      <c r="C519" s="39" t="n"/>
      <c r="D519" s="53">
        <f>IF(B519="","",IFERROR(INDEX('食材の単価'!$D$5:$D$204,MATCH(B519,'食材の単価'!$A$5:$A$204,0))&amp;"",""))</f>
        <v/>
      </c>
      <c r="E519" s="80">
        <f>IF(B519="","",IFERROR(INDEX('食材の単価'!$G$5:$G$204,MATCH(B519,'食材の単価'!$A$5:$A$204,0)),""))</f>
        <v/>
      </c>
      <c r="F519" s="78">
        <f>IF(AND(ISNUMBER(C519),ISNUMBER(E519)),C519*E519,"")</f>
        <v/>
      </c>
      <c r="G519" s="33" t="n"/>
      <c r="H519" s="34">
        <f>IF(COUNTA(A519:C519,G519)=0,"",IF(TRIM(A519)="","メニュー名がありません",IF(ISNA(MATCH(A519,'メニュー原価率'!$A$8:$A$107,0)),"メニュー原価率に無いメニューです",IF(TRIM(B519)="","食材名がありません",IF(ISNA(MATCH(B519,'食材の単価'!$A$5:$A$204,0)),"食材の単価に無い食材です",IF(NOT(ISNUMBER(C519)),"使用量がありません",IF(NOT(ISNUMBER(E519)),"食材の単価が出ていません（仕入価格・仕入量）","")))))))</f>
        <v/>
      </c>
    </row>
    <row r="520" ht="16" customHeight="1">
      <c r="A520" s="38" t="n"/>
      <c r="B520" s="38" t="n"/>
      <c r="C520" s="39" t="n"/>
      <c r="D520" s="53">
        <f>IF(B520="","",IFERROR(INDEX('食材の単価'!$D$5:$D$204,MATCH(B520,'食材の単価'!$A$5:$A$204,0))&amp;"",""))</f>
        <v/>
      </c>
      <c r="E520" s="80">
        <f>IF(B520="","",IFERROR(INDEX('食材の単価'!$G$5:$G$204,MATCH(B520,'食材の単価'!$A$5:$A$204,0)),""))</f>
        <v/>
      </c>
      <c r="F520" s="78">
        <f>IF(AND(ISNUMBER(C520),ISNUMBER(E520)),C520*E520,"")</f>
        <v/>
      </c>
      <c r="G520" s="33" t="n"/>
      <c r="H520" s="34">
        <f>IF(COUNTA(A520:C520,G520)=0,"",IF(TRIM(A520)="","メニュー名がありません",IF(ISNA(MATCH(A520,'メニュー原価率'!$A$8:$A$107,0)),"メニュー原価率に無いメニューです",IF(TRIM(B520)="","食材名がありません",IF(ISNA(MATCH(B520,'食材の単価'!$A$5:$A$204,0)),"食材の単価に無い食材です",IF(NOT(ISNUMBER(C520)),"使用量がありません",IF(NOT(ISNUMBER(E520)),"食材の単価が出ていません（仕入価格・仕入量）","")))))))</f>
        <v/>
      </c>
    </row>
    <row r="521" ht="16" customHeight="1">
      <c r="A521" s="38" t="n"/>
      <c r="B521" s="38" t="n"/>
      <c r="C521" s="39" t="n"/>
      <c r="D521" s="53">
        <f>IF(B521="","",IFERROR(INDEX('食材の単価'!$D$5:$D$204,MATCH(B521,'食材の単価'!$A$5:$A$204,0))&amp;"",""))</f>
        <v/>
      </c>
      <c r="E521" s="80">
        <f>IF(B521="","",IFERROR(INDEX('食材の単価'!$G$5:$G$204,MATCH(B521,'食材の単価'!$A$5:$A$204,0)),""))</f>
        <v/>
      </c>
      <c r="F521" s="78">
        <f>IF(AND(ISNUMBER(C521),ISNUMBER(E521)),C521*E521,"")</f>
        <v/>
      </c>
      <c r="G521" s="33" t="n"/>
      <c r="H521" s="34">
        <f>IF(COUNTA(A521:C521,G521)=0,"",IF(TRIM(A521)="","メニュー名がありません",IF(ISNA(MATCH(A521,'メニュー原価率'!$A$8:$A$107,0)),"メニュー原価率に無いメニューです",IF(TRIM(B521)="","食材名がありません",IF(ISNA(MATCH(B521,'食材の単価'!$A$5:$A$204,0)),"食材の単価に無い食材です",IF(NOT(ISNUMBER(C521)),"使用量がありません",IF(NOT(ISNUMBER(E521)),"食材の単価が出ていません（仕入価格・仕入量）","")))))))</f>
        <v/>
      </c>
    </row>
    <row r="522" ht="16" customHeight="1">
      <c r="A522" s="38" t="n"/>
      <c r="B522" s="38" t="n"/>
      <c r="C522" s="39" t="n"/>
      <c r="D522" s="53">
        <f>IF(B522="","",IFERROR(INDEX('食材の単価'!$D$5:$D$204,MATCH(B522,'食材の単価'!$A$5:$A$204,0))&amp;"",""))</f>
        <v/>
      </c>
      <c r="E522" s="80">
        <f>IF(B522="","",IFERROR(INDEX('食材の単価'!$G$5:$G$204,MATCH(B522,'食材の単価'!$A$5:$A$204,0)),""))</f>
        <v/>
      </c>
      <c r="F522" s="78">
        <f>IF(AND(ISNUMBER(C522),ISNUMBER(E522)),C522*E522,"")</f>
        <v/>
      </c>
      <c r="G522" s="33" t="n"/>
      <c r="H522" s="34">
        <f>IF(COUNTA(A522:C522,G522)=0,"",IF(TRIM(A522)="","メニュー名がありません",IF(ISNA(MATCH(A522,'メニュー原価率'!$A$8:$A$107,0)),"メニュー原価率に無いメニューです",IF(TRIM(B522)="","食材名がありません",IF(ISNA(MATCH(B522,'食材の単価'!$A$5:$A$204,0)),"食材の単価に無い食材です",IF(NOT(ISNUMBER(C522)),"使用量がありません",IF(NOT(ISNUMBER(E522)),"食材の単価が出ていません（仕入価格・仕入量）","")))))))</f>
        <v/>
      </c>
    </row>
    <row r="523" ht="16" customHeight="1">
      <c r="A523" s="38" t="n"/>
      <c r="B523" s="38" t="n"/>
      <c r="C523" s="39" t="n"/>
      <c r="D523" s="53">
        <f>IF(B523="","",IFERROR(INDEX('食材の単価'!$D$5:$D$204,MATCH(B523,'食材の単価'!$A$5:$A$204,0))&amp;"",""))</f>
        <v/>
      </c>
      <c r="E523" s="80">
        <f>IF(B523="","",IFERROR(INDEX('食材の単価'!$G$5:$G$204,MATCH(B523,'食材の単価'!$A$5:$A$204,0)),""))</f>
        <v/>
      </c>
      <c r="F523" s="78">
        <f>IF(AND(ISNUMBER(C523),ISNUMBER(E523)),C523*E523,"")</f>
        <v/>
      </c>
      <c r="G523" s="33" t="n"/>
      <c r="H523" s="34">
        <f>IF(COUNTA(A523:C523,G523)=0,"",IF(TRIM(A523)="","メニュー名がありません",IF(ISNA(MATCH(A523,'メニュー原価率'!$A$8:$A$107,0)),"メニュー原価率に無いメニューです",IF(TRIM(B523)="","食材名がありません",IF(ISNA(MATCH(B523,'食材の単価'!$A$5:$A$204,0)),"食材の単価に無い食材です",IF(NOT(ISNUMBER(C523)),"使用量がありません",IF(NOT(ISNUMBER(E523)),"食材の単価が出ていません（仕入価格・仕入量）","")))))))</f>
        <v/>
      </c>
    </row>
    <row r="524" ht="16" customHeight="1">
      <c r="A524" s="38" t="n"/>
      <c r="B524" s="38" t="n"/>
      <c r="C524" s="39" t="n"/>
      <c r="D524" s="53">
        <f>IF(B524="","",IFERROR(INDEX('食材の単価'!$D$5:$D$204,MATCH(B524,'食材の単価'!$A$5:$A$204,0))&amp;"",""))</f>
        <v/>
      </c>
      <c r="E524" s="80">
        <f>IF(B524="","",IFERROR(INDEX('食材の単価'!$G$5:$G$204,MATCH(B524,'食材の単価'!$A$5:$A$204,0)),""))</f>
        <v/>
      </c>
      <c r="F524" s="78">
        <f>IF(AND(ISNUMBER(C524),ISNUMBER(E524)),C524*E524,"")</f>
        <v/>
      </c>
      <c r="G524" s="33" t="n"/>
      <c r="H524" s="34">
        <f>IF(COUNTA(A524:C524,G524)=0,"",IF(TRIM(A524)="","メニュー名がありません",IF(ISNA(MATCH(A524,'メニュー原価率'!$A$8:$A$107,0)),"メニュー原価率に無いメニューです",IF(TRIM(B524)="","食材名がありません",IF(ISNA(MATCH(B524,'食材の単価'!$A$5:$A$204,0)),"食材の単価に無い食材です",IF(NOT(ISNUMBER(C524)),"使用量がありません",IF(NOT(ISNUMBER(E524)),"食材の単価が出ていません（仕入価格・仕入量）","")))))))</f>
        <v/>
      </c>
    </row>
    <row r="525" ht="16" customHeight="1">
      <c r="A525" s="38" t="n"/>
      <c r="B525" s="38" t="n"/>
      <c r="C525" s="39" t="n"/>
      <c r="D525" s="53">
        <f>IF(B525="","",IFERROR(INDEX('食材の単価'!$D$5:$D$204,MATCH(B525,'食材の単価'!$A$5:$A$204,0))&amp;"",""))</f>
        <v/>
      </c>
      <c r="E525" s="80">
        <f>IF(B525="","",IFERROR(INDEX('食材の単価'!$G$5:$G$204,MATCH(B525,'食材の単価'!$A$5:$A$204,0)),""))</f>
        <v/>
      </c>
      <c r="F525" s="78">
        <f>IF(AND(ISNUMBER(C525),ISNUMBER(E525)),C525*E525,"")</f>
        <v/>
      </c>
      <c r="G525" s="33" t="n"/>
      <c r="H525" s="34">
        <f>IF(COUNTA(A525:C525,G525)=0,"",IF(TRIM(A525)="","メニュー名がありません",IF(ISNA(MATCH(A525,'メニュー原価率'!$A$8:$A$107,0)),"メニュー原価率に無いメニューです",IF(TRIM(B525)="","食材名がありません",IF(ISNA(MATCH(B525,'食材の単価'!$A$5:$A$204,0)),"食材の単価に無い食材です",IF(NOT(ISNUMBER(C525)),"使用量がありません",IF(NOT(ISNUMBER(E525)),"食材の単価が出ていません（仕入価格・仕入量）","")))))))</f>
        <v/>
      </c>
    </row>
    <row r="526" ht="16" customHeight="1">
      <c r="A526" s="38" t="n"/>
      <c r="B526" s="38" t="n"/>
      <c r="C526" s="39" t="n"/>
      <c r="D526" s="53">
        <f>IF(B526="","",IFERROR(INDEX('食材の単価'!$D$5:$D$204,MATCH(B526,'食材の単価'!$A$5:$A$204,0))&amp;"",""))</f>
        <v/>
      </c>
      <c r="E526" s="80">
        <f>IF(B526="","",IFERROR(INDEX('食材の単価'!$G$5:$G$204,MATCH(B526,'食材の単価'!$A$5:$A$204,0)),""))</f>
        <v/>
      </c>
      <c r="F526" s="78">
        <f>IF(AND(ISNUMBER(C526),ISNUMBER(E526)),C526*E526,"")</f>
        <v/>
      </c>
      <c r="G526" s="33" t="n"/>
      <c r="H526" s="34">
        <f>IF(COUNTA(A526:C526,G526)=0,"",IF(TRIM(A526)="","メニュー名がありません",IF(ISNA(MATCH(A526,'メニュー原価率'!$A$8:$A$107,0)),"メニュー原価率に無いメニューです",IF(TRIM(B526)="","食材名がありません",IF(ISNA(MATCH(B526,'食材の単価'!$A$5:$A$204,0)),"食材の単価に無い食材です",IF(NOT(ISNUMBER(C526)),"使用量がありません",IF(NOT(ISNUMBER(E526)),"食材の単価が出ていません（仕入価格・仕入量）","")))))))</f>
        <v/>
      </c>
    </row>
    <row r="527" ht="16" customHeight="1">
      <c r="A527" s="38" t="n"/>
      <c r="B527" s="38" t="n"/>
      <c r="C527" s="39" t="n"/>
      <c r="D527" s="53">
        <f>IF(B527="","",IFERROR(INDEX('食材の単価'!$D$5:$D$204,MATCH(B527,'食材の単価'!$A$5:$A$204,0))&amp;"",""))</f>
        <v/>
      </c>
      <c r="E527" s="80">
        <f>IF(B527="","",IFERROR(INDEX('食材の単価'!$G$5:$G$204,MATCH(B527,'食材の単価'!$A$5:$A$204,0)),""))</f>
        <v/>
      </c>
      <c r="F527" s="78">
        <f>IF(AND(ISNUMBER(C527),ISNUMBER(E527)),C527*E527,"")</f>
        <v/>
      </c>
      <c r="G527" s="33" t="n"/>
      <c r="H527" s="34">
        <f>IF(COUNTA(A527:C527,G527)=0,"",IF(TRIM(A527)="","メニュー名がありません",IF(ISNA(MATCH(A527,'メニュー原価率'!$A$8:$A$107,0)),"メニュー原価率に無いメニューです",IF(TRIM(B527)="","食材名がありません",IF(ISNA(MATCH(B527,'食材の単価'!$A$5:$A$204,0)),"食材の単価に無い食材です",IF(NOT(ISNUMBER(C527)),"使用量がありません",IF(NOT(ISNUMBER(E527)),"食材の単価が出ていません（仕入価格・仕入量）","")))))))</f>
        <v/>
      </c>
    </row>
    <row r="528" ht="16" customHeight="1">
      <c r="A528" s="38" t="n"/>
      <c r="B528" s="38" t="n"/>
      <c r="C528" s="39" t="n"/>
      <c r="D528" s="53">
        <f>IF(B528="","",IFERROR(INDEX('食材の単価'!$D$5:$D$204,MATCH(B528,'食材の単価'!$A$5:$A$204,0))&amp;"",""))</f>
        <v/>
      </c>
      <c r="E528" s="80">
        <f>IF(B528="","",IFERROR(INDEX('食材の単価'!$G$5:$G$204,MATCH(B528,'食材の単価'!$A$5:$A$204,0)),""))</f>
        <v/>
      </c>
      <c r="F528" s="78">
        <f>IF(AND(ISNUMBER(C528),ISNUMBER(E528)),C528*E528,"")</f>
        <v/>
      </c>
      <c r="G528" s="33" t="n"/>
      <c r="H528" s="34">
        <f>IF(COUNTA(A528:C528,G528)=0,"",IF(TRIM(A528)="","メニュー名がありません",IF(ISNA(MATCH(A528,'メニュー原価率'!$A$8:$A$107,0)),"メニュー原価率に無いメニューです",IF(TRIM(B528)="","食材名がありません",IF(ISNA(MATCH(B528,'食材の単価'!$A$5:$A$204,0)),"食材の単価に無い食材です",IF(NOT(ISNUMBER(C528)),"使用量がありません",IF(NOT(ISNUMBER(E528)),"食材の単価が出ていません（仕入価格・仕入量）","")))))))</f>
        <v/>
      </c>
    </row>
    <row r="529" ht="16" customHeight="1">
      <c r="A529" s="38" t="n"/>
      <c r="B529" s="38" t="n"/>
      <c r="C529" s="39" t="n"/>
      <c r="D529" s="53">
        <f>IF(B529="","",IFERROR(INDEX('食材の単価'!$D$5:$D$204,MATCH(B529,'食材の単価'!$A$5:$A$204,0))&amp;"",""))</f>
        <v/>
      </c>
      <c r="E529" s="80">
        <f>IF(B529="","",IFERROR(INDEX('食材の単価'!$G$5:$G$204,MATCH(B529,'食材の単価'!$A$5:$A$204,0)),""))</f>
        <v/>
      </c>
      <c r="F529" s="78">
        <f>IF(AND(ISNUMBER(C529),ISNUMBER(E529)),C529*E529,"")</f>
        <v/>
      </c>
      <c r="G529" s="33" t="n"/>
      <c r="H529" s="34">
        <f>IF(COUNTA(A529:C529,G529)=0,"",IF(TRIM(A529)="","メニュー名がありません",IF(ISNA(MATCH(A529,'メニュー原価率'!$A$8:$A$107,0)),"メニュー原価率に無いメニューです",IF(TRIM(B529)="","食材名がありません",IF(ISNA(MATCH(B529,'食材の単価'!$A$5:$A$204,0)),"食材の単価に無い食材です",IF(NOT(ISNUMBER(C529)),"使用量がありません",IF(NOT(ISNUMBER(E529)),"食材の単価が出ていません（仕入価格・仕入量）","")))))))</f>
        <v/>
      </c>
    </row>
    <row r="530" ht="16" customHeight="1">
      <c r="A530" s="38" t="n"/>
      <c r="B530" s="38" t="n"/>
      <c r="C530" s="39" t="n"/>
      <c r="D530" s="53">
        <f>IF(B530="","",IFERROR(INDEX('食材の単価'!$D$5:$D$204,MATCH(B530,'食材の単価'!$A$5:$A$204,0))&amp;"",""))</f>
        <v/>
      </c>
      <c r="E530" s="80">
        <f>IF(B530="","",IFERROR(INDEX('食材の単価'!$G$5:$G$204,MATCH(B530,'食材の単価'!$A$5:$A$204,0)),""))</f>
        <v/>
      </c>
      <c r="F530" s="78">
        <f>IF(AND(ISNUMBER(C530),ISNUMBER(E530)),C530*E530,"")</f>
        <v/>
      </c>
      <c r="G530" s="33" t="n"/>
      <c r="H530" s="34">
        <f>IF(COUNTA(A530:C530,G530)=0,"",IF(TRIM(A530)="","メニュー名がありません",IF(ISNA(MATCH(A530,'メニュー原価率'!$A$8:$A$107,0)),"メニュー原価率に無いメニューです",IF(TRIM(B530)="","食材名がありません",IF(ISNA(MATCH(B530,'食材の単価'!$A$5:$A$204,0)),"食材の単価に無い食材です",IF(NOT(ISNUMBER(C530)),"使用量がありません",IF(NOT(ISNUMBER(E530)),"食材の単価が出ていません（仕入価格・仕入量）","")))))))</f>
        <v/>
      </c>
    </row>
    <row r="531" ht="16" customHeight="1">
      <c r="A531" s="38" t="n"/>
      <c r="B531" s="38" t="n"/>
      <c r="C531" s="39" t="n"/>
      <c r="D531" s="53">
        <f>IF(B531="","",IFERROR(INDEX('食材の単価'!$D$5:$D$204,MATCH(B531,'食材の単価'!$A$5:$A$204,0))&amp;"",""))</f>
        <v/>
      </c>
      <c r="E531" s="80">
        <f>IF(B531="","",IFERROR(INDEX('食材の単価'!$G$5:$G$204,MATCH(B531,'食材の単価'!$A$5:$A$204,0)),""))</f>
        <v/>
      </c>
      <c r="F531" s="78">
        <f>IF(AND(ISNUMBER(C531),ISNUMBER(E531)),C531*E531,"")</f>
        <v/>
      </c>
      <c r="G531" s="33" t="n"/>
      <c r="H531" s="34">
        <f>IF(COUNTA(A531:C531,G531)=0,"",IF(TRIM(A531)="","メニュー名がありません",IF(ISNA(MATCH(A531,'メニュー原価率'!$A$8:$A$107,0)),"メニュー原価率に無いメニューです",IF(TRIM(B531)="","食材名がありません",IF(ISNA(MATCH(B531,'食材の単価'!$A$5:$A$204,0)),"食材の単価に無い食材です",IF(NOT(ISNUMBER(C531)),"使用量がありません",IF(NOT(ISNUMBER(E531)),"食材の単価が出ていません（仕入価格・仕入量）","")))))))</f>
        <v/>
      </c>
    </row>
    <row r="532" ht="16" customHeight="1">
      <c r="A532" s="38" t="n"/>
      <c r="B532" s="38" t="n"/>
      <c r="C532" s="39" t="n"/>
      <c r="D532" s="53">
        <f>IF(B532="","",IFERROR(INDEX('食材の単価'!$D$5:$D$204,MATCH(B532,'食材の単価'!$A$5:$A$204,0))&amp;"",""))</f>
        <v/>
      </c>
      <c r="E532" s="80">
        <f>IF(B532="","",IFERROR(INDEX('食材の単価'!$G$5:$G$204,MATCH(B532,'食材の単価'!$A$5:$A$204,0)),""))</f>
        <v/>
      </c>
      <c r="F532" s="78">
        <f>IF(AND(ISNUMBER(C532),ISNUMBER(E532)),C532*E532,"")</f>
        <v/>
      </c>
      <c r="G532" s="33" t="n"/>
      <c r="H532" s="34">
        <f>IF(COUNTA(A532:C532,G532)=0,"",IF(TRIM(A532)="","メニュー名がありません",IF(ISNA(MATCH(A532,'メニュー原価率'!$A$8:$A$107,0)),"メニュー原価率に無いメニューです",IF(TRIM(B532)="","食材名がありません",IF(ISNA(MATCH(B532,'食材の単価'!$A$5:$A$204,0)),"食材の単価に無い食材です",IF(NOT(ISNUMBER(C532)),"使用量がありません",IF(NOT(ISNUMBER(E532)),"食材の単価が出ていません（仕入価格・仕入量）","")))))))</f>
        <v/>
      </c>
    </row>
    <row r="533" ht="16" customHeight="1">
      <c r="A533" s="38" t="n"/>
      <c r="B533" s="38" t="n"/>
      <c r="C533" s="39" t="n"/>
      <c r="D533" s="53">
        <f>IF(B533="","",IFERROR(INDEX('食材の単価'!$D$5:$D$204,MATCH(B533,'食材の単価'!$A$5:$A$204,0))&amp;"",""))</f>
        <v/>
      </c>
      <c r="E533" s="80">
        <f>IF(B533="","",IFERROR(INDEX('食材の単価'!$G$5:$G$204,MATCH(B533,'食材の単価'!$A$5:$A$204,0)),""))</f>
        <v/>
      </c>
      <c r="F533" s="78">
        <f>IF(AND(ISNUMBER(C533),ISNUMBER(E533)),C533*E533,"")</f>
        <v/>
      </c>
      <c r="G533" s="33" t="n"/>
      <c r="H533" s="34">
        <f>IF(COUNTA(A533:C533,G533)=0,"",IF(TRIM(A533)="","メニュー名がありません",IF(ISNA(MATCH(A533,'メニュー原価率'!$A$8:$A$107,0)),"メニュー原価率に無いメニューです",IF(TRIM(B533)="","食材名がありません",IF(ISNA(MATCH(B533,'食材の単価'!$A$5:$A$204,0)),"食材の単価に無い食材です",IF(NOT(ISNUMBER(C533)),"使用量がありません",IF(NOT(ISNUMBER(E533)),"食材の単価が出ていません（仕入価格・仕入量）","")))))))</f>
        <v/>
      </c>
    </row>
    <row r="534" ht="16" customHeight="1">
      <c r="A534" s="38" t="n"/>
      <c r="B534" s="38" t="n"/>
      <c r="C534" s="39" t="n"/>
      <c r="D534" s="53">
        <f>IF(B534="","",IFERROR(INDEX('食材の単価'!$D$5:$D$204,MATCH(B534,'食材の単価'!$A$5:$A$204,0))&amp;"",""))</f>
        <v/>
      </c>
      <c r="E534" s="80">
        <f>IF(B534="","",IFERROR(INDEX('食材の単価'!$G$5:$G$204,MATCH(B534,'食材の単価'!$A$5:$A$204,0)),""))</f>
        <v/>
      </c>
      <c r="F534" s="78">
        <f>IF(AND(ISNUMBER(C534),ISNUMBER(E534)),C534*E534,"")</f>
        <v/>
      </c>
      <c r="G534" s="33" t="n"/>
      <c r="H534" s="34">
        <f>IF(COUNTA(A534:C534,G534)=0,"",IF(TRIM(A534)="","メニュー名がありません",IF(ISNA(MATCH(A534,'メニュー原価率'!$A$8:$A$107,0)),"メニュー原価率に無いメニューです",IF(TRIM(B534)="","食材名がありません",IF(ISNA(MATCH(B534,'食材の単価'!$A$5:$A$204,0)),"食材の単価に無い食材です",IF(NOT(ISNUMBER(C534)),"使用量がありません",IF(NOT(ISNUMBER(E534)),"食材の単価が出ていません（仕入価格・仕入量）","")))))))</f>
        <v/>
      </c>
    </row>
    <row r="535" ht="16" customHeight="1">
      <c r="A535" s="38" t="n"/>
      <c r="B535" s="38" t="n"/>
      <c r="C535" s="39" t="n"/>
      <c r="D535" s="53">
        <f>IF(B535="","",IFERROR(INDEX('食材の単価'!$D$5:$D$204,MATCH(B535,'食材の単価'!$A$5:$A$204,0))&amp;"",""))</f>
        <v/>
      </c>
      <c r="E535" s="80">
        <f>IF(B535="","",IFERROR(INDEX('食材の単価'!$G$5:$G$204,MATCH(B535,'食材の単価'!$A$5:$A$204,0)),""))</f>
        <v/>
      </c>
      <c r="F535" s="78">
        <f>IF(AND(ISNUMBER(C535),ISNUMBER(E535)),C535*E535,"")</f>
        <v/>
      </c>
      <c r="G535" s="33" t="n"/>
      <c r="H535" s="34">
        <f>IF(COUNTA(A535:C535,G535)=0,"",IF(TRIM(A535)="","メニュー名がありません",IF(ISNA(MATCH(A535,'メニュー原価率'!$A$8:$A$107,0)),"メニュー原価率に無いメニューです",IF(TRIM(B535)="","食材名がありません",IF(ISNA(MATCH(B535,'食材の単価'!$A$5:$A$204,0)),"食材の単価に無い食材です",IF(NOT(ISNUMBER(C535)),"使用量がありません",IF(NOT(ISNUMBER(E535)),"食材の単価が出ていません（仕入価格・仕入量）","")))))))</f>
        <v/>
      </c>
    </row>
    <row r="536" ht="16" customHeight="1">
      <c r="A536" s="38" t="n"/>
      <c r="B536" s="38" t="n"/>
      <c r="C536" s="39" t="n"/>
      <c r="D536" s="53">
        <f>IF(B536="","",IFERROR(INDEX('食材の単価'!$D$5:$D$204,MATCH(B536,'食材の単価'!$A$5:$A$204,0))&amp;"",""))</f>
        <v/>
      </c>
      <c r="E536" s="80">
        <f>IF(B536="","",IFERROR(INDEX('食材の単価'!$G$5:$G$204,MATCH(B536,'食材の単価'!$A$5:$A$204,0)),""))</f>
        <v/>
      </c>
      <c r="F536" s="78">
        <f>IF(AND(ISNUMBER(C536),ISNUMBER(E536)),C536*E536,"")</f>
        <v/>
      </c>
      <c r="G536" s="33" t="n"/>
      <c r="H536" s="34">
        <f>IF(COUNTA(A536:C536,G536)=0,"",IF(TRIM(A536)="","メニュー名がありません",IF(ISNA(MATCH(A536,'メニュー原価率'!$A$8:$A$107,0)),"メニュー原価率に無いメニューです",IF(TRIM(B536)="","食材名がありません",IF(ISNA(MATCH(B536,'食材の単価'!$A$5:$A$204,0)),"食材の単価に無い食材です",IF(NOT(ISNUMBER(C536)),"使用量がありません",IF(NOT(ISNUMBER(E536)),"食材の単価が出ていません（仕入価格・仕入量）","")))))))</f>
        <v/>
      </c>
    </row>
    <row r="537" ht="16" customHeight="1">
      <c r="A537" s="38" t="n"/>
      <c r="B537" s="38" t="n"/>
      <c r="C537" s="39" t="n"/>
      <c r="D537" s="53">
        <f>IF(B537="","",IFERROR(INDEX('食材の単価'!$D$5:$D$204,MATCH(B537,'食材の単価'!$A$5:$A$204,0))&amp;"",""))</f>
        <v/>
      </c>
      <c r="E537" s="80">
        <f>IF(B537="","",IFERROR(INDEX('食材の単価'!$G$5:$G$204,MATCH(B537,'食材の単価'!$A$5:$A$204,0)),""))</f>
        <v/>
      </c>
      <c r="F537" s="78">
        <f>IF(AND(ISNUMBER(C537),ISNUMBER(E537)),C537*E537,"")</f>
        <v/>
      </c>
      <c r="G537" s="33" t="n"/>
      <c r="H537" s="34">
        <f>IF(COUNTA(A537:C537,G537)=0,"",IF(TRIM(A537)="","メニュー名がありません",IF(ISNA(MATCH(A537,'メニュー原価率'!$A$8:$A$107,0)),"メニュー原価率に無いメニューです",IF(TRIM(B537)="","食材名がありません",IF(ISNA(MATCH(B537,'食材の単価'!$A$5:$A$204,0)),"食材の単価に無い食材です",IF(NOT(ISNUMBER(C537)),"使用量がありません",IF(NOT(ISNUMBER(E537)),"食材の単価が出ていません（仕入価格・仕入量）","")))))))</f>
        <v/>
      </c>
    </row>
    <row r="538" ht="16" customHeight="1">
      <c r="A538" s="38" t="n"/>
      <c r="B538" s="38" t="n"/>
      <c r="C538" s="39" t="n"/>
      <c r="D538" s="53">
        <f>IF(B538="","",IFERROR(INDEX('食材の単価'!$D$5:$D$204,MATCH(B538,'食材の単価'!$A$5:$A$204,0))&amp;"",""))</f>
        <v/>
      </c>
      <c r="E538" s="80">
        <f>IF(B538="","",IFERROR(INDEX('食材の単価'!$G$5:$G$204,MATCH(B538,'食材の単価'!$A$5:$A$204,0)),""))</f>
        <v/>
      </c>
      <c r="F538" s="78">
        <f>IF(AND(ISNUMBER(C538),ISNUMBER(E538)),C538*E538,"")</f>
        <v/>
      </c>
      <c r="G538" s="33" t="n"/>
      <c r="H538" s="34">
        <f>IF(COUNTA(A538:C538,G538)=0,"",IF(TRIM(A538)="","メニュー名がありません",IF(ISNA(MATCH(A538,'メニュー原価率'!$A$8:$A$107,0)),"メニュー原価率に無いメニューです",IF(TRIM(B538)="","食材名がありません",IF(ISNA(MATCH(B538,'食材の単価'!$A$5:$A$204,0)),"食材の単価に無い食材です",IF(NOT(ISNUMBER(C538)),"使用量がありません",IF(NOT(ISNUMBER(E538)),"食材の単価が出ていません（仕入価格・仕入量）","")))))))</f>
        <v/>
      </c>
    </row>
    <row r="539" ht="16" customHeight="1">
      <c r="A539" s="38" t="n"/>
      <c r="B539" s="38" t="n"/>
      <c r="C539" s="39" t="n"/>
      <c r="D539" s="53">
        <f>IF(B539="","",IFERROR(INDEX('食材の単価'!$D$5:$D$204,MATCH(B539,'食材の単価'!$A$5:$A$204,0))&amp;"",""))</f>
        <v/>
      </c>
      <c r="E539" s="80">
        <f>IF(B539="","",IFERROR(INDEX('食材の単価'!$G$5:$G$204,MATCH(B539,'食材の単価'!$A$5:$A$204,0)),""))</f>
        <v/>
      </c>
      <c r="F539" s="78">
        <f>IF(AND(ISNUMBER(C539),ISNUMBER(E539)),C539*E539,"")</f>
        <v/>
      </c>
      <c r="G539" s="33" t="n"/>
      <c r="H539" s="34">
        <f>IF(COUNTA(A539:C539,G539)=0,"",IF(TRIM(A539)="","メニュー名がありません",IF(ISNA(MATCH(A539,'メニュー原価率'!$A$8:$A$107,0)),"メニュー原価率に無いメニューです",IF(TRIM(B539)="","食材名がありません",IF(ISNA(MATCH(B539,'食材の単価'!$A$5:$A$204,0)),"食材の単価に無い食材です",IF(NOT(ISNUMBER(C539)),"使用量がありません",IF(NOT(ISNUMBER(E539)),"食材の単価が出ていません（仕入価格・仕入量）","")))))))</f>
        <v/>
      </c>
    </row>
    <row r="540" ht="16" customHeight="1">
      <c r="A540" s="38" t="n"/>
      <c r="B540" s="38" t="n"/>
      <c r="C540" s="39" t="n"/>
      <c r="D540" s="53">
        <f>IF(B540="","",IFERROR(INDEX('食材の単価'!$D$5:$D$204,MATCH(B540,'食材の単価'!$A$5:$A$204,0))&amp;"",""))</f>
        <v/>
      </c>
      <c r="E540" s="80">
        <f>IF(B540="","",IFERROR(INDEX('食材の単価'!$G$5:$G$204,MATCH(B540,'食材の単価'!$A$5:$A$204,0)),""))</f>
        <v/>
      </c>
      <c r="F540" s="78">
        <f>IF(AND(ISNUMBER(C540),ISNUMBER(E540)),C540*E540,"")</f>
        <v/>
      </c>
      <c r="G540" s="33" t="n"/>
      <c r="H540" s="34">
        <f>IF(COUNTA(A540:C540,G540)=0,"",IF(TRIM(A540)="","メニュー名がありません",IF(ISNA(MATCH(A540,'メニュー原価率'!$A$8:$A$107,0)),"メニュー原価率に無いメニューです",IF(TRIM(B540)="","食材名がありません",IF(ISNA(MATCH(B540,'食材の単価'!$A$5:$A$204,0)),"食材の単価に無い食材です",IF(NOT(ISNUMBER(C540)),"使用量がありません",IF(NOT(ISNUMBER(E540)),"食材の単価が出ていません（仕入価格・仕入量）","")))))))</f>
        <v/>
      </c>
    </row>
    <row r="541" ht="16" customHeight="1">
      <c r="A541" s="38" t="n"/>
      <c r="B541" s="38" t="n"/>
      <c r="C541" s="39" t="n"/>
      <c r="D541" s="53">
        <f>IF(B541="","",IFERROR(INDEX('食材の単価'!$D$5:$D$204,MATCH(B541,'食材の単価'!$A$5:$A$204,0))&amp;"",""))</f>
        <v/>
      </c>
      <c r="E541" s="80">
        <f>IF(B541="","",IFERROR(INDEX('食材の単価'!$G$5:$G$204,MATCH(B541,'食材の単価'!$A$5:$A$204,0)),""))</f>
        <v/>
      </c>
      <c r="F541" s="78">
        <f>IF(AND(ISNUMBER(C541),ISNUMBER(E541)),C541*E541,"")</f>
        <v/>
      </c>
      <c r="G541" s="33" t="n"/>
      <c r="H541" s="34">
        <f>IF(COUNTA(A541:C541,G541)=0,"",IF(TRIM(A541)="","メニュー名がありません",IF(ISNA(MATCH(A541,'メニュー原価率'!$A$8:$A$107,0)),"メニュー原価率に無いメニューです",IF(TRIM(B541)="","食材名がありません",IF(ISNA(MATCH(B541,'食材の単価'!$A$5:$A$204,0)),"食材の単価に無い食材です",IF(NOT(ISNUMBER(C541)),"使用量がありません",IF(NOT(ISNUMBER(E541)),"食材の単価が出ていません（仕入価格・仕入量）","")))))))</f>
        <v/>
      </c>
    </row>
    <row r="542" ht="16" customHeight="1">
      <c r="A542" s="38" t="n"/>
      <c r="B542" s="38" t="n"/>
      <c r="C542" s="39" t="n"/>
      <c r="D542" s="53">
        <f>IF(B542="","",IFERROR(INDEX('食材の単価'!$D$5:$D$204,MATCH(B542,'食材の単価'!$A$5:$A$204,0))&amp;"",""))</f>
        <v/>
      </c>
      <c r="E542" s="80">
        <f>IF(B542="","",IFERROR(INDEX('食材の単価'!$G$5:$G$204,MATCH(B542,'食材の単価'!$A$5:$A$204,0)),""))</f>
        <v/>
      </c>
      <c r="F542" s="78">
        <f>IF(AND(ISNUMBER(C542),ISNUMBER(E542)),C542*E542,"")</f>
        <v/>
      </c>
      <c r="G542" s="33" t="n"/>
      <c r="H542" s="34">
        <f>IF(COUNTA(A542:C542,G542)=0,"",IF(TRIM(A542)="","メニュー名がありません",IF(ISNA(MATCH(A542,'メニュー原価率'!$A$8:$A$107,0)),"メニュー原価率に無いメニューです",IF(TRIM(B542)="","食材名がありません",IF(ISNA(MATCH(B542,'食材の単価'!$A$5:$A$204,0)),"食材の単価に無い食材です",IF(NOT(ISNUMBER(C542)),"使用量がありません",IF(NOT(ISNUMBER(E542)),"食材の単価が出ていません（仕入価格・仕入量）","")))))))</f>
        <v/>
      </c>
    </row>
    <row r="543" ht="16" customHeight="1">
      <c r="A543" s="38" t="n"/>
      <c r="B543" s="38" t="n"/>
      <c r="C543" s="39" t="n"/>
      <c r="D543" s="53">
        <f>IF(B543="","",IFERROR(INDEX('食材の単価'!$D$5:$D$204,MATCH(B543,'食材の単価'!$A$5:$A$204,0))&amp;"",""))</f>
        <v/>
      </c>
      <c r="E543" s="80">
        <f>IF(B543="","",IFERROR(INDEX('食材の単価'!$G$5:$G$204,MATCH(B543,'食材の単価'!$A$5:$A$204,0)),""))</f>
        <v/>
      </c>
      <c r="F543" s="78">
        <f>IF(AND(ISNUMBER(C543),ISNUMBER(E543)),C543*E543,"")</f>
        <v/>
      </c>
      <c r="G543" s="33" t="n"/>
      <c r="H543" s="34">
        <f>IF(COUNTA(A543:C543,G543)=0,"",IF(TRIM(A543)="","メニュー名がありません",IF(ISNA(MATCH(A543,'メニュー原価率'!$A$8:$A$107,0)),"メニュー原価率に無いメニューです",IF(TRIM(B543)="","食材名がありません",IF(ISNA(MATCH(B543,'食材の単価'!$A$5:$A$204,0)),"食材の単価に無い食材です",IF(NOT(ISNUMBER(C543)),"使用量がありません",IF(NOT(ISNUMBER(E543)),"食材の単価が出ていません（仕入価格・仕入量）","")))))))</f>
        <v/>
      </c>
    </row>
    <row r="544" ht="16" customHeight="1">
      <c r="A544" s="38" t="n"/>
      <c r="B544" s="38" t="n"/>
      <c r="C544" s="39" t="n"/>
      <c r="D544" s="53">
        <f>IF(B544="","",IFERROR(INDEX('食材の単価'!$D$5:$D$204,MATCH(B544,'食材の単価'!$A$5:$A$204,0))&amp;"",""))</f>
        <v/>
      </c>
      <c r="E544" s="80">
        <f>IF(B544="","",IFERROR(INDEX('食材の単価'!$G$5:$G$204,MATCH(B544,'食材の単価'!$A$5:$A$204,0)),""))</f>
        <v/>
      </c>
      <c r="F544" s="78">
        <f>IF(AND(ISNUMBER(C544),ISNUMBER(E544)),C544*E544,"")</f>
        <v/>
      </c>
      <c r="G544" s="33" t="n"/>
      <c r="H544" s="34">
        <f>IF(COUNTA(A544:C544,G544)=0,"",IF(TRIM(A544)="","メニュー名がありません",IF(ISNA(MATCH(A544,'メニュー原価率'!$A$8:$A$107,0)),"メニュー原価率に無いメニューです",IF(TRIM(B544)="","食材名がありません",IF(ISNA(MATCH(B544,'食材の単価'!$A$5:$A$204,0)),"食材の単価に無い食材です",IF(NOT(ISNUMBER(C544)),"使用量がありません",IF(NOT(ISNUMBER(E544)),"食材の単価が出ていません（仕入価格・仕入量）","")))))))</f>
        <v/>
      </c>
    </row>
    <row r="545" ht="16" customHeight="1">
      <c r="A545" s="38" t="n"/>
      <c r="B545" s="38" t="n"/>
      <c r="C545" s="39" t="n"/>
      <c r="D545" s="53">
        <f>IF(B545="","",IFERROR(INDEX('食材の単価'!$D$5:$D$204,MATCH(B545,'食材の単価'!$A$5:$A$204,0))&amp;"",""))</f>
        <v/>
      </c>
      <c r="E545" s="80">
        <f>IF(B545="","",IFERROR(INDEX('食材の単価'!$G$5:$G$204,MATCH(B545,'食材の単価'!$A$5:$A$204,0)),""))</f>
        <v/>
      </c>
      <c r="F545" s="78">
        <f>IF(AND(ISNUMBER(C545),ISNUMBER(E545)),C545*E545,"")</f>
        <v/>
      </c>
      <c r="G545" s="33" t="n"/>
      <c r="H545" s="34">
        <f>IF(COUNTA(A545:C545,G545)=0,"",IF(TRIM(A545)="","メニュー名がありません",IF(ISNA(MATCH(A545,'メニュー原価率'!$A$8:$A$107,0)),"メニュー原価率に無いメニューです",IF(TRIM(B545)="","食材名がありません",IF(ISNA(MATCH(B545,'食材の単価'!$A$5:$A$204,0)),"食材の単価に無い食材です",IF(NOT(ISNUMBER(C545)),"使用量がありません",IF(NOT(ISNUMBER(E545)),"食材の単価が出ていません（仕入価格・仕入量）","")))))))</f>
        <v/>
      </c>
    </row>
    <row r="546" ht="16" customHeight="1">
      <c r="A546" s="38" t="n"/>
      <c r="B546" s="38" t="n"/>
      <c r="C546" s="39" t="n"/>
      <c r="D546" s="53">
        <f>IF(B546="","",IFERROR(INDEX('食材の単価'!$D$5:$D$204,MATCH(B546,'食材の単価'!$A$5:$A$204,0))&amp;"",""))</f>
        <v/>
      </c>
      <c r="E546" s="80">
        <f>IF(B546="","",IFERROR(INDEX('食材の単価'!$G$5:$G$204,MATCH(B546,'食材の単価'!$A$5:$A$204,0)),""))</f>
        <v/>
      </c>
      <c r="F546" s="78">
        <f>IF(AND(ISNUMBER(C546),ISNUMBER(E546)),C546*E546,"")</f>
        <v/>
      </c>
      <c r="G546" s="33" t="n"/>
      <c r="H546" s="34">
        <f>IF(COUNTA(A546:C546,G546)=0,"",IF(TRIM(A546)="","メニュー名がありません",IF(ISNA(MATCH(A546,'メニュー原価率'!$A$8:$A$107,0)),"メニュー原価率に無いメニューです",IF(TRIM(B546)="","食材名がありません",IF(ISNA(MATCH(B546,'食材の単価'!$A$5:$A$204,0)),"食材の単価に無い食材です",IF(NOT(ISNUMBER(C546)),"使用量がありません",IF(NOT(ISNUMBER(E546)),"食材の単価が出ていません（仕入価格・仕入量）","")))))))</f>
        <v/>
      </c>
    </row>
    <row r="547" ht="16" customHeight="1">
      <c r="A547" s="38" t="n"/>
      <c r="B547" s="38" t="n"/>
      <c r="C547" s="39" t="n"/>
      <c r="D547" s="53">
        <f>IF(B547="","",IFERROR(INDEX('食材の単価'!$D$5:$D$204,MATCH(B547,'食材の単価'!$A$5:$A$204,0))&amp;"",""))</f>
        <v/>
      </c>
      <c r="E547" s="80">
        <f>IF(B547="","",IFERROR(INDEX('食材の単価'!$G$5:$G$204,MATCH(B547,'食材の単価'!$A$5:$A$204,0)),""))</f>
        <v/>
      </c>
      <c r="F547" s="78">
        <f>IF(AND(ISNUMBER(C547),ISNUMBER(E547)),C547*E547,"")</f>
        <v/>
      </c>
      <c r="G547" s="33" t="n"/>
      <c r="H547" s="34">
        <f>IF(COUNTA(A547:C547,G547)=0,"",IF(TRIM(A547)="","メニュー名がありません",IF(ISNA(MATCH(A547,'メニュー原価率'!$A$8:$A$107,0)),"メニュー原価率に無いメニューです",IF(TRIM(B547)="","食材名がありません",IF(ISNA(MATCH(B547,'食材の単価'!$A$5:$A$204,0)),"食材の単価に無い食材です",IF(NOT(ISNUMBER(C547)),"使用量がありません",IF(NOT(ISNUMBER(E547)),"食材の単価が出ていません（仕入価格・仕入量）","")))))))</f>
        <v/>
      </c>
    </row>
    <row r="548" ht="16" customHeight="1">
      <c r="A548" s="38" t="n"/>
      <c r="B548" s="38" t="n"/>
      <c r="C548" s="39" t="n"/>
      <c r="D548" s="53">
        <f>IF(B548="","",IFERROR(INDEX('食材の単価'!$D$5:$D$204,MATCH(B548,'食材の単価'!$A$5:$A$204,0))&amp;"",""))</f>
        <v/>
      </c>
      <c r="E548" s="80">
        <f>IF(B548="","",IFERROR(INDEX('食材の単価'!$G$5:$G$204,MATCH(B548,'食材の単価'!$A$5:$A$204,0)),""))</f>
        <v/>
      </c>
      <c r="F548" s="78">
        <f>IF(AND(ISNUMBER(C548),ISNUMBER(E548)),C548*E548,"")</f>
        <v/>
      </c>
      <c r="G548" s="33" t="n"/>
      <c r="H548" s="34">
        <f>IF(COUNTA(A548:C548,G548)=0,"",IF(TRIM(A548)="","メニュー名がありません",IF(ISNA(MATCH(A548,'メニュー原価率'!$A$8:$A$107,0)),"メニュー原価率に無いメニューです",IF(TRIM(B548)="","食材名がありません",IF(ISNA(MATCH(B548,'食材の単価'!$A$5:$A$204,0)),"食材の単価に無い食材です",IF(NOT(ISNUMBER(C548)),"使用量がありません",IF(NOT(ISNUMBER(E548)),"食材の単価が出ていません（仕入価格・仕入量）","")))))))</f>
        <v/>
      </c>
    </row>
    <row r="549" ht="16" customHeight="1">
      <c r="A549" s="38" t="n"/>
      <c r="B549" s="38" t="n"/>
      <c r="C549" s="39" t="n"/>
      <c r="D549" s="53">
        <f>IF(B549="","",IFERROR(INDEX('食材の単価'!$D$5:$D$204,MATCH(B549,'食材の単価'!$A$5:$A$204,0))&amp;"",""))</f>
        <v/>
      </c>
      <c r="E549" s="80">
        <f>IF(B549="","",IFERROR(INDEX('食材の単価'!$G$5:$G$204,MATCH(B549,'食材の単価'!$A$5:$A$204,0)),""))</f>
        <v/>
      </c>
      <c r="F549" s="78">
        <f>IF(AND(ISNUMBER(C549),ISNUMBER(E549)),C549*E549,"")</f>
        <v/>
      </c>
      <c r="G549" s="33" t="n"/>
      <c r="H549" s="34">
        <f>IF(COUNTA(A549:C549,G549)=0,"",IF(TRIM(A549)="","メニュー名がありません",IF(ISNA(MATCH(A549,'メニュー原価率'!$A$8:$A$107,0)),"メニュー原価率に無いメニューです",IF(TRIM(B549)="","食材名がありません",IF(ISNA(MATCH(B549,'食材の単価'!$A$5:$A$204,0)),"食材の単価に無い食材です",IF(NOT(ISNUMBER(C549)),"使用量がありません",IF(NOT(ISNUMBER(E549)),"食材の単価が出ていません（仕入価格・仕入量）","")))))))</f>
        <v/>
      </c>
    </row>
    <row r="550" ht="16" customHeight="1">
      <c r="A550" s="38" t="n"/>
      <c r="B550" s="38" t="n"/>
      <c r="C550" s="39" t="n"/>
      <c r="D550" s="53">
        <f>IF(B550="","",IFERROR(INDEX('食材の単価'!$D$5:$D$204,MATCH(B550,'食材の単価'!$A$5:$A$204,0))&amp;"",""))</f>
        <v/>
      </c>
      <c r="E550" s="80">
        <f>IF(B550="","",IFERROR(INDEX('食材の単価'!$G$5:$G$204,MATCH(B550,'食材の単価'!$A$5:$A$204,0)),""))</f>
        <v/>
      </c>
      <c r="F550" s="78">
        <f>IF(AND(ISNUMBER(C550),ISNUMBER(E550)),C550*E550,"")</f>
        <v/>
      </c>
      <c r="G550" s="33" t="n"/>
      <c r="H550" s="34">
        <f>IF(COUNTA(A550:C550,G550)=0,"",IF(TRIM(A550)="","メニュー名がありません",IF(ISNA(MATCH(A550,'メニュー原価率'!$A$8:$A$107,0)),"メニュー原価率に無いメニューです",IF(TRIM(B550)="","食材名がありません",IF(ISNA(MATCH(B550,'食材の単価'!$A$5:$A$204,0)),"食材の単価に無い食材です",IF(NOT(ISNUMBER(C550)),"使用量がありません",IF(NOT(ISNUMBER(E550)),"食材の単価が出ていません（仕入価格・仕入量）","")))))))</f>
        <v/>
      </c>
    </row>
    <row r="551" ht="16" customHeight="1">
      <c r="A551" s="38" t="n"/>
      <c r="B551" s="38" t="n"/>
      <c r="C551" s="39" t="n"/>
      <c r="D551" s="53">
        <f>IF(B551="","",IFERROR(INDEX('食材の単価'!$D$5:$D$204,MATCH(B551,'食材の単価'!$A$5:$A$204,0))&amp;"",""))</f>
        <v/>
      </c>
      <c r="E551" s="80">
        <f>IF(B551="","",IFERROR(INDEX('食材の単価'!$G$5:$G$204,MATCH(B551,'食材の単価'!$A$5:$A$204,0)),""))</f>
        <v/>
      </c>
      <c r="F551" s="78">
        <f>IF(AND(ISNUMBER(C551),ISNUMBER(E551)),C551*E551,"")</f>
        <v/>
      </c>
      <c r="G551" s="33" t="n"/>
      <c r="H551" s="34">
        <f>IF(COUNTA(A551:C551,G551)=0,"",IF(TRIM(A551)="","メニュー名がありません",IF(ISNA(MATCH(A551,'メニュー原価率'!$A$8:$A$107,0)),"メニュー原価率に無いメニューです",IF(TRIM(B551)="","食材名がありません",IF(ISNA(MATCH(B551,'食材の単価'!$A$5:$A$204,0)),"食材の単価に無い食材です",IF(NOT(ISNUMBER(C551)),"使用量がありません",IF(NOT(ISNUMBER(E551)),"食材の単価が出ていません（仕入価格・仕入量）","")))))))</f>
        <v/>
      </c>
    </row>
    <row r="552" ht="16" customHeight="1">
      <c r="A552" s="38" t="n"/>
      <c r="B552" s="38" t="n"/>
      <c r="C552" s="39" t="n"/>
      <c r="D552" s="53">
        <f>IF(B552="","",IFERROR(INDEX('食材の単価'!$D$5:$D$204,MATCH(B552,'食材の単価'!$A$5:$A$204,0))&amp;"",""))</f>
        <v/>
      </c>
      <c r="E552" s="80">
        <f>IF(B552="","",IFERROR(INDEX('食材の単価'!$G$5:$G$204,MATCH(B552,'食材の単価'!$A$5:$A$204,0)),""))</f>
        <v/>
      </c>
      <c r="F552" s="78">
        <f>IF(AND(ISNUMBER(C552),ISNUMBER(E552)),C552*E552,"")</f>
        <v/>
      </c>
      <c r="G552" s="33" t="n"/>
      <c r="H552" s="34">
        <f>IF(COUNTA(A552:C552,G552)=0,"",IF(TRIM(A552)="","メニュー名がありません",IF(ISNA(MATCH(A552,'メニュー原価率'!$A$8:$A$107,0)),"メニュー原価率に無いメニューです",IF(TRIM(B552)="","食材名がありません",IF(ISNA(MATCH(B552,'食材の単価'!$A$5:$A$204,0)),"食材の単価に無い食材です",IF(NOT(ISNUMBER(C552)),"使用量がありません",IF(NOT(ISNUMBER(E552)),"食材の単価が出ていません（仕入価格・仕入量）","")))))))</f>
        <v/>
      </c>
    </row>
    <row r="553" ht="16" customHeight="1">
      <c r="A553" s="38" t="n"/>
      <c r="B553" s="38" t="n"/>
      <c r="C553" s="39" t="n"/>
      <c r="D553" s="53">
        <f>IF(B553="","",IFERROR(INDEX('食材の単価'!$D$5:$D$204,MATCH(B553,'食材の単価'!$A$5:$A$204,0))&amp;"",""))</f>
        <v/>
      </c>
      <c r="E553" s="80">
        <f>IF(B553="","",IFERROR(INDEX('食材の単価'!$G$5:$G$204,MATCH(B553,'食材の単価'!$A$5:$A$204,0)),""))</f>
        <v/>
      </c>
      <c r="F553" s="78">
        <f>IF(AND(ISNUMBER(C553),ISNUMBER(E553)),C553*E553,"")</f>
        <v/>
      </c>
      <c r="G553" s="33" t="n"/>
      <c r="H553" s="34">
        <f>IF(COUNTA(A553:C553,G553)=0,"",IF(TRIM(A553)="","メニュー名がありません",IF(ISNA(MATCH(A553,'メニュー原価率'!$A$8:$A$107,0)),"メニュー原価率に無いメニューです",IF(TRIM(B553)="","食材名がありません",IF(ISNA(MATCH(B553,'食材の単価'!$A$5:$A$204,0)),"食材の単価に無い食材です",IF(NOT(ISNUMBER(C553)),"使用量がありません",IF(NOT(ISNUMBER(E553)),"食材の単価が出ていません（仕入価格・仕入量）","")))))))</f>
        <v/>
      </c>
    </row>
    <row r="554" ht="16" customHeight="1">
      <c r="A554" s="38" t="n"/>
      <c r="B554" s="38" t="n"/>
      <c r="C554" s="39" t="n"/>
      <c r="D554" s="53">
        <f>IF(B554="","",IFERROR(INDEX('食材の単価'!$D$5:$D$204,MATCH(B554,'食材の単価'!$A$5:$A$204,0))&amp;"",""))</f>
        <v/>
      </c>
      <c r="E554" s="80">
        <f>IF(B554="","",IFERROR(INDEX('食材の単価'!$G$5:$G$204,MATCH(B554,'食材の単価'!$A$5:$A$204,0)),""))</f>
        <v/>
      </c>
      <c r="F554" s="78">
        <f>IF(AND(ISNUMBER(C554),ISNUMBER(E554)),C554*E554,"")</f>
        <v/>
      </c>
      <c r="G554" s="33" t="n"/>
      <c r="H554" s="34">
        <f>IF(COUNTA(A554:C554,G554)=0,"",IF(TRIM(A554)="","メニュー名がありません",IF(ISNA(MATCH(A554,'メニュー原価率'!$A$8:$A$107,0)),"メニュー原価率に無いメニューです",IF(TRIM(B554)="","食材名がありません",IF(ISNA(MATCH(B554,'食材の単価'!$A$5:$A$204,0)),"食材の単価に無い食材です",IF(NOT(ISNUMBER(C554)),"使用量がありません",IF(NOT(ISNUMBER(E554)),"食材の単価が出ていません（仕入価格・仕入量）","")))))))</f>
        <v/>
      </c>
    </row>
    <row r="555" ht="16" customHeight="1">
      <c r="A555" s="38" t="n"/>
      <c r="B555" s="38" t="n"/>
      <c r="C555" s="39" t="n"/>
      <c r="D555" s="53">
        <f>IF(B555="","",IFERROR(INDEX('食材の単価'!$D$5:$D$204,MATCH(B555,'食材の単価'!$A$5:$A$204,0))&amp;"",""))</f>
        <v/>
      </c>
      <c r="E555" s="80">
        <f>IF(B555="","",IFERROR(INDEX('食材の単価'!$G$5:$G$204,MATCH(B555,'食材の単価'!$A$5:$A$204,0)),""))</f>
        <v/>
      </c>
      <c r="F555" s="78">
        <f>IF(AND(ISNUMBER(C555),ISNUMBER(E555)),C555*E555,"")</f>
        <v/>
      </c>
      <c r="G555" s="33" t="n"/>
      <c r="H555" s="34">
        <f>IF(COUNTA(A555:C555,G555)=0,"",IF(TRIM(A555)="","メニュー名がありません",IF(ISNA(MATCH(A555,'メニュー原価率'!$A$8:$A$107,0)),"メニュー原価率に無いメニューです",IF(TRIM(B555)="","食材名がありません",IF(ISNA(MATCH(B555,'食材の単価'!$A$5:$A$204,0)),"食材の単価に無い食材です",IF(NOT(ISNUMBER(C555)),"使用量がありません",IF(NOT(ISNUMBER(E555)),"食材の単価が出ていません（仕入価格・仕入量）","")))))))</f>
        <v/>
      </c>
    </row>
    <row r="556" ht="16" customHeight="1">
      <c r="A556" s="38" t="n"/>
      <c r="B556" s="38" t="n"/>
      <c r="C556" s="39" t="n"/>
      <c r="D556" s="53">
        <f>IF(B556="","",IFERROR(INDEX('食材の単価'!$D$5:$D$204,MATCH(B556,'食材の単価'!$A$5:$A$204,0))&amp;"",""))</f>
        <v/>
      </c>
      <c r="E556" s="80">
        <f>IF(B556="","",IFERROR(INDEX('食材の単価'!$G$5:$G$204,MATCH(B556,'食材の単価'!$A$5:$A$204,0)),""))</f>
        <v/>
      </c>
      <c r="F556" s="78">
        <f>IF(AND(ISNUMBER(C556),ISNUMBER(E556)),C556*E556,"")</f>
        <v/>
      </c>
      <c r="G556" s="33" t="n"/>
      <c r="H556" s="34">
        <f>IF(COUNTA(A556:C556,G556)=0,"",IF(TRIM(A556)="","メニュー名がありません",IF(ISNA(MATCH(A556,'メニュー原価率'!$A$8:$A$107,0)),"メニュー原価率に無いメニューです",IF(TRIM(B556)="","食材名がありません",IF(ISNA(MATCH(B556,'食材の単価'!$A$5:$A$204,0)),"食材の単価に無い食材です",IF(NOT(ISNUMBER(C556)),"使用量がありません",IF(NOT(ISNUMBER(E556)),"食材の単価が出ていません（仕入価格・仕入量）","")))))))</f>
        <v/>
      </c>
    </row>
    <row r="557" ht="16" customHeight="1">
      <c r="A557" s="38" t="n"/>
      <c r="B557" s="38" t="n"/>
      <c r="C557" s="39" t="n"/>
      <c r="D557" s="53">
        <f>IF(B557="","",IFERROR(INDEX('食材の単価'!$D$5:$D$204,MATCH(B557,'食材の単価'!$A$5:$A$204,0))&amp;"",""))</f>
        <v/>
      </c>
      <c r="E557" s="80">
        <f>IF(B557="","",IFERROR(INDEX('食材の単価'!$G$5:$G$204,MATCH(B557,'食材の単価'!$A$5:$A$204,0)),""))</f>
        <v/>
      </c>
      <c r="F557" s="78">
        <f>IF(AND(ISNUMBER(C557),ISNUMBER(E557)),C557*E557,"")</f>
        <v/>
      </c>
      <c r="G557" s="33" t="n"/>
      <c r="H557" s="34">
        <f>IF(COUNTA(A557:C557,G557)=0,"",IF(TRIM(A557)="","メニュー名がありません",IF(ISNA(MATCH(A557,'メニュー原価率'!$A$8:$A$107,0)),"メニュー原価率に無いメニューです",IF(TRIM(B557)="","食材名がありません",IF(ISNA(MATCH(B557,'食材の単価'!$A$5:$A$204,0)),"食材の単価に無い食材です",IF(NOT(ISNUMBER(C557)),"使用量がありません",IF(NOT(ISNUMBER(E557)),"食材の単価が出ていません（仕入価格・仕入量）","")))))))</f>
        <v/>
      </c>
    </row>
    <row r="558" ht="16" customHeight="1">
      <c r="A558" s="38" t="n"/>
      <c r="B558" s="38" t="n"/>
      <c r="C558" s="39" t="n"/>
      <c r="D558" s="53">
        <f>IF(B558="","",IFERROR(INDEX('食材の単価'!$D$5:$D$204,MATCH(B558,'食材の単価'!$A$5:$A$204,0))&amp;"",""))</f>
        <v/>
      </c>
      <c r="E558" s="80">
        <f>IF(B558="","",IFERROR(INDEX('食材の単価'!$G$5:$G$204,MATCH(B558,'食材の単価'!$A$5:$A$204,0)),""))</f>
        <v/>
      </c>
      <c r="F558" s="78">
        <f>IF(AND(ISNUMBER(C558),ISNUMBER(E558)),C558*E558,"")</f>
        <v/>
      </c>
      <c r="G558" s="33" t="n"/>
      <c r="H558" s="34">
        <f>IF(COUNTA(A558:C558,G558)=0,"",IF(TRIM(A558)="","メニュー名がありません",IF(ISNA(MATCH(A558,'メニュー原価率'!$A$8:$A$107,0)),"メニュー原価率に無いメニューです",IF(TRIM(B558)="","食材名がありません",IF(ISNA(MATCH(B558,'食材の単価'!$A$5:$A$204,0)),"食材の単価に無い食材です",IF(NOT(ISNUMBER(C558)),"使用量がありません",IF(NOT(ISNUMBER(E558)),"食材の単価が出ていません（仕入価格・仕入量）","")))))))</f>
        <v/>
      </c>
    </row>
    <row r="559" ht="16" customHeight="1">
      <c r="A559" s="38" t="n"/>
      <c r="B559" s="38" t="n"/>
      <c r="C559" s="39" t="n"/>
      <c r="D559" s="53">
        <f>IF(B559="","",IFERROR(INDEX('食材の単価'!$D$5:$D$204,MATCH(B559,'食材の単価'!$A$5:$A$204,0))&amp;"",""))</f>
        <v/>
      </c>
      <c r="E559" s="80">
        <f>IF(B559="","",IFERROR(INDEX('食材の単価'!$G$5:$G$204,MATCH(B559,'食材の単価'!$A$5:$A$204,0)),""))</f>
        <v/>
      </c>
      <c r="F559" s="78">
        <f>IF(AND(ISNUMBER(C559),ISNUMBER(E559)),C559*E559,"")</f>
        <v/>
      </c>
      <c r="G559" s="33" t="n"/>
      <c r="H559" s="34">
        <f>IF(COUNTA(A559:C559,G559)=0,"",IF(TRIM(A559)="","メニュー名がありません",IF(ISNA(MATCH(A559,'メニュー原価率'!$A$8:$A$107,0)),"メニュー原価率に無いメニューです",IF(TRIM(B559)="","食材名がありません",IF(ISNA(MATCH(B559,'食材の単価'!$A$5:$A$204,0)),"食材の単価に無い食材です",IF(NOT(ISNUMBER(C559)),"使用量がありません",IF(NOT(ISNUMBER(E559)),"食材の単価が出ていません（仕入価格・仕入量）","")))))))</f>
        <v/>
      </c>
    </row>
    <row r="560" ht="16" customHeight="1">
      <c r="A560" s="38" t="n"/>
      <c r="B560" s="38" t="n"/>
      <c r="C560" s="39" t="n"/>
      <c r="D560" s="53">
        <f>IF(B560="","",IFERROR(INDEX('食材の単価'!$D$5:$D$204,MATCH(B560,'食材の単価'!$A$5:$A$204,0))&amp;"",""))</f>
        <v/>
      </c>
      <c r="E560" s="80">
        <f>IF(B560="","",IFERROR(INDEX('食材の単価'!$G$5:$G$204,MATCH(B560,'食材の単価'!$A$5:$A$204,0)),""))</f>
        <v/>
      </c>
      <c r="F560" s="78">
        <f>IF(AND(ISNUMBER(C560),ISNUMBER(E560)),C560*E560,"")</f>
        <v/>
      </c>
      <c r="G560" s="33" t="n"/>
      <c r="H560" s="34">
        <f>IF(COUNTA(A560:C560,G560)=0,"",IF(TRIM(A560)="","メニュー名がありません",IF(ISNA(MATCH(A560,'メニュー原価率'!$A$8:$A$107,0)),"メニュー原価率に無いメニューです",IF(TRIM(B560)="","食材名がありません",IF(ISNA(MATCH(B560,'食材の単価'!$A$5:$A$204,0)),"食材の単価に無い食材です",IF(NOT(ISNUMBER(C560)),"使用量がありません",IF(NOT(ISNUMBER(E560)),"食材の単価が出ていません（仕入価格・仕入量）","")))))))</f>
        <v/>
      </c>
    </row>
    <row r="561" ht="16" customHeight="1">
      <c r="A561" s="38" t="n"/>
      <c r="B561" s="38" t="n"/>
      <c r="C561" s="39" t="n"/>
      <c r="D561" s="53">
        <f>IF(B561="","",IFERROR(INDEX('食材の単価'!$D$5:$D$204,MATCH(B561,'食材の単価'!$A$5:$A$204,0))&amp;"",""))</f>
        <v/>
      </c>
      <c r="E561" s="80">
        <f>IF(B561="","",IFERROR(INDEX('食材の単価'!$G$5:$G$204,MATCH(B561,'食材の単価'!$A$5:$A$204,0)),""))</f>
        <v/>
      </c>
      <c r="F561" s="78">
        <f>IF(AND(ISNUMBER(C561),ISNUMBER(E561)),C561*E561,"")</f>
        <v/>
      </c>
      <c r="G561" s="33" t="n"/>
      <c r="H561" s="34">
        <f>IF(COUNTA(A561:C561,G561)=0,"",IF(TRIM(A561)="","メニュー名がありません",IF(ISNA(MATCH(A561,'メニュー原価率'!$A$8:$A$107,0)),"メニュー原価率に無いメニューです",IF(TRIM(B561)="","食材名がありません",IF(ISNA(MATCH(B561,'食材の単価'!$A$5:$A$204,0)),"食材の単価に無い食材です",IF(NOT(ISNUMBER(C561)),"使用量がありません",IF(NOT(ISNUMBER(E561)),"食材の単価が出ていません（仕入価格・仕入量）","")))))))</f>
        <v/>
      </c>
    </row>
    <row r="562" ht="16" customHeight="1">
      <c r="A562" s="38" t="n"/>
      <c r="B562" s="38" t="n"/>
      <c r="C562" s="39" t="n"/>
      <c r="D562" s="53">
        <f>IF(B562="","",IFERROR(INDEX('食材の単価'!$D$5:$D$204,MATCH(B562,'食材の単価'!$A$5:$A$204,0))&amp;"",""))</f>
        <v/>
      </c>
      <c r="E562" s="80">
        <f>IF(B562="","",IFERROR(INDEX('食材の単価'!$G$5:$G$204,MATCH(B562,'食材の単価'!$A$5:$A$204,0)),""))</f>
        <v/>
      </c>
      <c r="F562" s="78">
        <f>IF(AND(ISNUMBER(C562),ISNUMBER(E562)),C562*E562,"")</f>
        <v/>
      </c>
      <c r="G562" s="33" t="n"/>
      <c r="H562" s="34">
        <f>IF(COUNTA(A562:C562,G562)=0,"",IF(TRIM(A562)="","メニュー名がありません",IF(ISNA(MATCH(A562,'メニュー原価率'!$A$8:$A$107,0)),"メニュー原価率に無いメニューです",IF(TRIM(B562)="","食材名がありません",IF(ISNA(MATCH(B562,'食材の単価'!$A$5:$A$204,0)),"食材の単価に無い食材です",IF(NOT(ISNUMBER(C562)),"使用量がありません",IF(NOT(ISNUMBER(E562)),"食材の単価が出ていません（仕入価格・仕入量）","")))))))</f>
        <v/>
      </c>
    </row>
    <row r="563" ht="16" customHeight="1">
      <c r="A563" s="38" t="n"/>
      <c r="B563" s="38" t="n"/>
      <c r="C563" s="39" t="n"/>
      <c r="D563" s="53">
        <f>IF(B563="","",IFERROR(INDEX('食材の単価'!$D$5:$D$204,MATCH(B563,'食材の単価'!$A$5:$A$204,0))&amp;"",""))</f>
        <v/>
      </c>
      <c r="E563" s="80">
        <f>IF(B563="","",IFERROR(INDEX('食材の単価'!$G$5:$G$204,MATCH(B563,'食材の単価'!$A$5:$A$204,0)),""))</f>
        <v/>
      </c>
      <c r="F563" s="78">
        <f>IF(AND(ISNUMBER(C563),ISNUMBER(E563)),C563*E563,"")</f>
        <v/>
      </c>
      <c r="G563" s="33" t="n"/>
      <c r="H563" s="34">
        <f>IF(COUNTA(A563:C563,G563)=0,"",IF(TRIM(A563)="","メニュー名がありません",IF(ISNA(MATCH(A563,'メニュー原価率'!$A$8:$A$107,0)),"メニュー原価率に無いメニューです",IF(TRIM(B563)="","食材名がありません",IF(ISNA(MATCH(B563,'食材の単価'!$A$5:$A$204,0)),"食材の単価に無い食材です",IF(NOT(ISNUMBER(C563)),"使用量がありません",IF(NOT(ISNUMBER(E563)),"食材の単価が出ていません（仕入価格・仕入量）","")))))))</f>
        <v/>
      </c>
    </row>
    <row r="564" ht="16" customHeight="1">
      <c r="A564" s="38" t="n"/>
      <c r="B564" s="38" t="n"/>
      <c r="C564" s="39" t="n"/>
      <c r="D564" s="53">
        <f>IF(B564="","",IFERROR(INDEX('食材の単価'!$D$5:$D$204,MATCH(B564,'食材の単価'!$A$5:$A$204,0))&amp;"",""))</f>
        <v/>
      </c>
      <c r="E564" s="80">
        <f>IF(B564="","",IFERROR(INDEX('食材の単価'!$G$5:$G$204,MATCH(B564,'食材の単価'!$A$5:$A$204,0)),""))</f>
        <v/>
      </c>
      <c r="F564" s="78">
        <f>IF(AND(ISNUMBER(C564),ISNUMBER(E564)),C564*E564,"")</f>
        <v/>
      </c>
      <c r="G564" s="33" t="n"/>
      <c r="H564" s="34">
        <f>IF(COUNTA(A564:C564,G564)=0,"",IF(TRIM(A564)="","メニュー名がありません",IF(ISNA(MATCH(A564,'メニュー原価率'!$A$8:$A$107,0)),"メニュー原価率に無いメニューです",IF(TRIM(B564)="","食材名がありません",IF(ISNA(MATCH(B564,'食材の単価'!$A$5:$A$204,0)),"食材の単価に無い食材です",IF(NOT(ISNUMBER(C564)),"使用量がありません",IF(NOT(ISNUMBER(E564)),"食材の単価が出ていません（仕入価格・仕入量）","")))))))</f>
        <v/>
      </c>
    </row>
    <row r="565" ht="16" customHeight="1">
      <c r="A565" s="38" t="n"/>
      <c r="B565" s="38" t="n"/>
      <c r="C565" s="39" t="n"/>
      <c r="D565" s="53">
        <f>IF(B565="","",IFERROR(INDEX('食材の単価'!$D$5:$D$204,MATCH(B565,'食材の単価'!$A$5:$A$204,0))&amp;"",""))</f>
        <v/>
      </c>
      <c r="E565" s="80">
        <f>IF(B565="","",IFERROR(INDEX('食材の単価'!$G$5:$G$204,MATCH(B565,'食材の単価'!$A$5:$A$204,0)),""))</f>
        <v/>
      </c>
      <c r="F565" s="78">
        <f>IF(AND(ISNUMBER(C565),ISNUMBER(E565)),C565*E565,"")</f>
        <v/>
      </c>
      <c r="G565" s="33" t="n"/>
      <c r="H565" s="34">
        <f>IF(COUNTA(A565:C565,G565)=0,"",IF(TRIM(A565)="","メニュー名がありません",IF(ISNA(MATCH(A565,'メニュー原価率'!$A$8:$A$107,0)),"メニュー原価率に無いメニューです",IF(TRIM(B565)="","食材名がありません",IF(ISNA(MATCH(B565,'食材の単価'!$A$5:$A$204,0)),"食材の単価に無い食材です",IF(NOT(ISNUMBER(C565)),"使用量がありません",IF(NOT(ISNUMBER(E565)),"食材の単価が出ていません（仕入価格・仕入量）","")))))))</f>
        <v/>
      </c>
    </row>
    <row r="566" ht="16" customHeight="1">
      <c r="A566" s="38" t="n"/>
      <c r="B566" s="38" t="n"/>
      <c r="C566" s="39" t="n"/>
      <c r="D566" s="53">
        <f>IF(B566="","",IFERROR(INDEX('食材の単価'!$D$5:$D$204,MATCH(B566,'食材の単価'!$A$5:$A$204,0))&amp;"",""))</f>
        <v/>
      </c>
      <c r="E566" s="80">
        <f>IF(B566="","",IFERROR(INDEX('食材の単価'!$G$5:$G$204,MATCH(B566,'食材の単価'!$A$5:$A$204,0)),""))</f>
        <v/>
      </c>
      <c r="F566" s="78">
        <f>IF(AND(ISNUMBER(C566),ISNUMBER(E566)),C566*E566,"")</f>
        <v/>
      </c>
      <c r="G566" s="33" t="n"/>
      <c r="H566" s="34">
        <f>IF(COUNTA(A566:C566,G566)=0,"",IF(TRIM(A566)="","メニュー名がありません",IF(ISNA(MATCH(A566,'メニュー原価率'!$A$8:$A$107,0)),"メニュー原価率に無いメニューです",IF(TRIM(B566)="","食材名がありません",IF(ISNA(MATCH(B566,'食材の単価'!$A$5:$A$204,0)),"食材の単価に無い食材です",IF(NOT(ISNUMBER(C566)),"使用量がありません",IF(NOT(ISNUMBER(E566)),"食材の単価が出ていません（仕入価格・仕入量）","")))))))</f>
        <v/>
      </c>
    </row>
    <row r="567" ht="16" customHeight="1">
      <c r="A567" s="38" t="n"/>
      <c r="B567" s="38" t="n"/>
      <c r="C567" s="39" t="n"/>
      <c r="D567" s="53">
        <f>IF(B567="","",IFERROR(INDEX('食材の単価'!$D$5:$D$204,MATCH(B567,'食材の単価'!$A$5:$A$204,0))&amp;"",""))</f>
        <v/>
      </c>
      <c r="E567" s="80">
        <f>IF(B567="","",IFERROR(INDEX('食材の単価'!$G$5:$G$204,MATCH(B567,'食材の単価'!$A$5:$A$204,0)),""))</f>
        <v/>
      </c>
      <c r="F567" s="78">
        <f>IF(AND(ISNUMBER(C567),ISNUMBER(E567)),C567*E567,"")</f>
        <v/>
      </c>
      <c r="G567" s="33" t="n"/>
      <c r="H567" s="34">
        <f>IF(COUNTA(A567:C567,G567)=0,"",IF(TRIM(A567)="","メニュー名がありません",IF(ISNA(MATCH(A567,'メニュー原価率'!$A$8:$A$107,0)),"メニュー原価率に無いメニューです",IF(TRIM(B567)="","食材名がありません",IF(ISNA(MATCH(B567,'食材の単価'!$A$5:$A$204,0)),"食材の単価に無い食材です",IF(NOT(ISNUMBER(C567)),"使用量がありません",IF(NOT(ISNUMBER(E567)),"食材の単価が出ていません（仕入価格・仕入量）","")))))))</f>
        <v/>
      </c>
    </row>
    <row r="568" ht="16" customHeight="1">
      <c r="A568" s="38" t="n"/>
      <c r="B568" s="38" t="n"/>
      <c r="C568" s="39" t="n"/>
      <c r="D568" s="53">
        <f>IF(B568="","",IFERROR(INDEX('食材の単価'!$D$5:$D$204,MATCH(B568,'食材の単価'!$A$5:$A$204,0))&amp;"",""))</f>
        <v/>
      </c>
      <c r="E568" s="80">
        <f>IF(B568="","",IFERROR(INDEX('食材の単価'!$G$5:$G$204,MATCH(B568,'食材の単価'!$A$5:$A$204,0)),""))</f>
        <v/>
      </c>
      <c r="F568" s="78">
        <f>IF(AND(ISNUMBER(C568),ISNUMBER(E568)),C568*E568,"")</f>
        <v/>
      </c>
      <c r="G568" s="33" t="n"/>
      <c r="H568" s="34">
        <f>IF(COUNTA(A568:C568,G568)=0,"",IF(TRIM(A568)="","メニュー名がありません",IF(ISNA(MATCH(A568,'メニュー原価率'!$A$8:$A$107,0)),"メニュー原価率に無いメニューです",IF(TRIM(B568)="","食材名がありません",IF(ISNA(MATCH(B568,'食材の単価'!$A$5:$A$204,0)),"食材の単価に無い食材です",IF(NOT(ISNUMBER(C568)),"使用量がありません",IF(NOT(ISNUMBER(E568)),"食材の単価が出ていません（仕入価格・仕入量）","")))))))</f>
        <v/>
      </c>
    </row>
    <row r="569" ht="16" customHeight="1">
      <c r="A569" s="38" t="n"/>
      <c r="B569" s="38" t="n"/>
      <c r="C569" s="39" t="n"/>
      <c r="D569" s="53">
        <f>IF(B569="","",IFERROR(INDEX('食材の単価'!$D$5:$D$204,MATCH(B569,'食材の単価'!$A$5:$A$204,0))&amp;"",""))</f>
        <v/>
      </c>
      <c r="E569" s="80">
        <f>IF(B569="","",IFERROR(INDEX('食材の単価'!$G$5:$G$204,MATCH(B569,'食材の単価'!$A$5:$A$204,0)),""))</f>
        <v/>
      </c>
      <c r="F569" s="78">
        <f>IF(AND(ISNUMBER(C569),ISNUMBER(E569)),C569*E569,"")</f>
        <v/>
      </c>
      <c r="G569" s="33" t="n"/>
      <c r="H569" s="34">
        <f>IF(COUNTA(A569:C569,G569)=0,"",IF(TRIM(A569)="","メニュー名がありません",IF(ISNA(MATCH(A569,'メニュー原価率'!$A$8:$A$107,0)),"メニュー原価率に無いメニューです",IF(TRIM(B569)="","食材名がありません",IF(ISNA(MATCH(B569,'食材の単価'!$A$5:$A$204,0)),"食材の単価に無い食材です",IF(NOT(ISNUMBER(C569)),"使用量がありません",IF(NOT(ISNUMBER(E569)),"食材の単価が出ていません（仕入価格・仕入量）","")))))))</f>
        <v/>
      </c>
    </row>
    <row r="570" ht="16" customHeight="1">
      <c r="A570" s="38" t="n"/>
      <c r="B570" s="38" t="n"/>
      <c r="C570" s="39" t="n"/>
      <c r="D570" s="53">
        <f>IF(B570="","",IFERROR(INDEX('食材の単価'!$D$5:$D$204,MATCH(B570,'食材の単価'!$A$5:$A$204,0))&amp;"",""))</f>
        <v/>
      </c>
      <c r="E570" s="80">
        <f>IF(B570="","",IFERROR(INDEX('食材の単価'!$G$5:$G$204,MATCH(B570,'食材の単価'!$A$5:$A$204,0)),""))</f>
        <v/>
      </c>
      <c r="F570" s="78">
        <f>IF(AND(ISNUMBER(C570),ISNUMBER(E570)),C570*E570,"")</f>
        <v/>
      </c>
      <c r="G570" s="33" t="n"/>
      <c r="H570" s="34">
        <f>IF(COUNTA(A570:C570,G570)=0,"",IF(TRIM(A570)="","メニュー名がありません",IF(ISNA(MATCH(A570,'メニュー原価率'!$A$8:$A$107,0)),"メニュー原価率に無いメニューです",IF(TRIM(B570)="","食材名がありません",IF(ISNA(MATCH(B570,'食材の単価'!$A$5:$A$204,0)),"食材の単価に無い食材です",IF(NOT(ISNUMBER(C570)),"使用量がありません",IF(NOT(ISNUMBER(E570)),"食材の単価が出ていません（仕入価格・仕入量）","")))))))</f>
        <v/>
      </c>
    </row>
    <row r="571" ht="16" customHeight="1">
      <c r="A571" s="38" t="n"/>
      <c r="B571" s="38" t="n"/>
      <c r="C571" s="39" t="n"/>
      <c r="D571" s="53">
        <f>IF(B571="","",IFERROR(INDEX('食材の単価'!$D$5:$D$204,MATCH(B571,'食材の単価'!$A$5:$A$204,0))&amp;"",""))</f>
        <v/>
      </c>
      <c r="E571" s="80">
        <f>IF(B571="","",IFERROR(INDEX('食材の単価'!$G$5:$G$204,MATCH(B571,'食材の単価'!$A$5:$A$204,0)),""))</f>
        <v/>
      </c>
      <c r="F571" s="78">
        <f>IF(AND(ISNUMBER(C571),ISNUMBER(E571)),C571*E571,"")</f>
        <v/>
      </c>
      <c r="G571" s="33" t="n"/>
      <c r="H571" s="34">
        <f>IF(COUNTA(A571:C571,G571)=0,"",IF(TRIM(A571)="","メニュー名がありません",IF(ISNA(MATCH(A571,'メニュー原価率'!$A$8:$A$107,0)),"メニュー原価率に無いメニューです",IF(TRIM(B571)="","食材名がありません",IF(ISNA(MATCH(B571,'食材の単価'!$A$5:$A$204,0)),"食材の単価に無い食材です",IF(NOT(ISNUMBER(C571)),"使用量がありません",IF(NOT(ISNUMBER(E571)),"食材の単価が出ていません（仕入価格・仕入量）","")))))))</f>
        <v/>
      </c>
    </row>
    <row r="572" ht="16" customHeight="1">
      <c r="A572" s="38" t="n"/>
      <c r="B572" s="38" t="n"/>
      <c r="C572" s="39" t="n"/>
      <c r="D572" s="53">
        <f>IF(B572="","",IFERROR(INDEX('食材の単価'!$D$5:$D$204,MATCH(B572,'食材の単価'!$A$5:$A$204,0))&amp;"",""))</f>
        <v/>
      </c>
      <c r="E572" s="80">
        <f>IF(B572="","",IFERROR(INDEX('食材の単価'!$G$5:$G$204,MATCH(B572,'食材の単価'!$A$5:$A$204,0)),""))</f>
        <v/>
      </c>
      <c r="F572" s="78">
        <f>IF(AND(ISNUMBER(C572),ISNUMBER(E572)),C572*E572,"")</f>
        <v/>
      </c>
      <c r="G572" s="33" t="n"/>
      <c r="H572" s="34">
        <f>IF(COUNTA(A572:C572,G572)=0,"",IF(TRIM(A572)="","メニュー名がありません",IF(ISNA(MATCH(A572,'メニュー原価率'!$A$8:$A$107,0)),"メニュー原価率に無いメニューです",IF(TRIM(B572)="","食材名がありません",IF(ISNA(MATCH(B572,'食材の単価'!$A$5:$A$204,0)),"食材の単価に無い食材です",IF(NOT(ISNUMBER(C572)),"使用量がありません",IF(NOT(ISNUMBER(E572)),"食材の単価が出ていません（仕入価格・仕入量）","")))))))</f>
        <v/>
      </c>
    </row>
    <row r="573" ht="16" customHeight="1">
      <c r="A573" s="38" t="n"/>
      <c r="B573" s="38" t="n"/>
      <c r="C573" s="39" t="n"/>
      <c r="D573" s="53">
        <f>IF(B573="","",IFERROR(INDEX('食材の単価'!$D$5:$D$204,MATCH(B573,'食材の単価'!$A$5:$A$204,0))&amp;"",""))</f>
        <v/>
      </c>
      <c r="E573" s="80">
        <f>IF(B573="","",IFERROR(INDEX('食材の単価'!$G$5:$G$204,MATCH(B573,'食材の単価'!$A$5:$A$204,0)),""))</f>
        <v/>
      </c>
      <c r="F573" s="78">
        <f>IF(AND(ISNUMBER(C573),ISNUMBER(E573)),C573*E573,"")</f>
        <v/>
      </c>
      <c r="G573" s="33" t="n"/>
      <c r="H573" s="34">
        <f>IF(COUNTA(A573:C573,G573)=0,"",IF(TRIM(A573)="","メニュー名がありません",IF(ISNA(MATCH(A573,'メニュー原価率'!$A$8:$A$107,0)),"メニュー原価率に無いメニューです",IF(TRIM(B573)="","食材名がありません",IF(ISNA(MATCH(B573,'食材の単価'!$A$5:$A$204,0)),"食材の単価に無い食材です",IF(NOT(ISNUMBER(C573)),"使用量がありません",IF(NOT(ISNUMBER(E573)),"食材の単価が出ていません（仕入価格・仕入量）","")))))))</f>
        <v/>
      </c>
    </row>
    <row r="574" ht="16" customHeight="1">
      <c r="A574" s="38" t="n"/>
      <c r="B574" s="38" t="n"/>
      <c r="C574" s="39" t="n"/>
      <c r="D574" s="53">
        <f>IF(B574="","",IFERROR(INDEX('食材の単価'!$D$5:$D$204,MATCH(B574,'食材の単価'!$A$5:$A$204,0))&amp;"",""))</f>
        <v/>
      </c>
      <c r="E574" s="80">
        <f>IF(B574="","",IFERROR(INDEX('食材の単価'!$G$5:$G$204,MATCH(B574,'食材の単価'!$A$5:$A$204,0)),""))</f>
        <v/>
      </c>
      <c r="F574" s="78">
        <f>IF(AND(ISNUMBER(C574),ISNUMBER(E574)),C574*E574,"")</f>
        <v/>
      </c>
      <c r="G574" s="33" t="n"/>
      <c r="H574" s="34">
        <f>IF(COUNTA(A574:C574,G574)=0,"",IF(TRIM(A574)="","メニュー名がありません",IF(ISNA(MATCH(A574,'メニュー原価率'!$A$8:$A$107,0)),"メニュー原価率に無いメニューです",IF(TRIM(B574)="","食材名がありません",IF(ISNA(MATCH(B574,'食材の単価'!$A$5:$A$204,0)),"食材の単価に無い食材です",IF(NOT(ISNUMBER(C574)),"使用量がありません",IF(NOT(ISNUMBER(E574)),"食材の単価が出ていません（仕入価格・仕入量）","")))))))</f>
        <v/>
      </c>
    </row>
    <row r="575" ht="16" customHeight="1">
      <c r="A575" s="38" t="n"/>
      <c r="B575" s="38" t="n"/>
      <c r="C575" s="39" t="n"/>
      <c r="D575" s="53">
        <f>IF(B575="","",IFERROR(INDEX('食材の単価'!$D$5:$D$204,MATCH(B575,'食材の単価'!$A$5:$A$204,0))&amp;"",""))</f>
        <v/>
      </c>
      <c r="E575" s="80">
        <f>IF(B575="","",IFERROR(INDEX('食材の単価'!$G$5:$G$204,MATCH(B575,'食材の単価'!$A$5:$A$204,0)),""))</f>
        <v/>
      </c>
      <c r="F575" s="78">
        <f>IF(AND(ISNUMBER(C575),ISNUMBER(E575)),C575*E575,"")</f>
        <v/>
      </c>
      <c r="G575" s="33" t="n"/>
      <c r="H575" s="34">
        <f>IF(COUNTA(A575:C575,G575)=0,"",IF(TRIM(A575)="","メニュー名がありません",IF(ISNA(MATCH(A575,'メニュー原価率'!$A$8:$A$107,0)),"メニュー原価率に無いメニューです",IF(TRIM(B575)="","食材名がありません",IF(ISNA(MATCH(B575,'食材の単価'!$A$5:$A$204,0)),"食材の単価に無い食材です",IF(NOT(ISNUMBER(C575)),"使用量がありません",IF(NOT(ISNUMBER(E575)),"食材の単価が出ていません（仕入価格・仕入量）","")))))))</f>
        <v/>
      </c>
    </row>
    <row r="576" ht="16" customHeight="1">
      <c r="A576" s="38" t="n"/>
      <c r="B576" s="38" t="n"/>
      <c r="C576" s="39" t="n"/>
      <c r="D576" s="53">
        <f>IF(B576="","",IFERROR(INDEX('食材の単価'!$D$5:$D$204,MATCH(B576,'食材の単価'!$A$5:$A$204,0))&amp;"",""))</f>
        <v/>
      </c>
      <c r="E576" s="80">
        <f>IF(B576="","",IFERROR(INDEX('食材の単価'!$G$5:$G$204,MATCH(B576,'食材の単価'!$A$5:$A$204,0)),""))</f>
        <v/>
      </c>
      <c r="F576" s="78">
        <f>IF(AND(ISNUMBER(C576),ISNUMBER(E576)),C576*E576,"")</f>
        <v/>
      </c>
      <c r="G576" s="33" t="n"/>
      <c r="H576" s="34">
        <f>IF(COUNTA(A576:C576,G576)=0,"",IF(TRIM(A576)="","メニュー名がありません",IF(ISNA(MATCH(A576,'メニュー原価率'!$A$8:$A$107,0)),"メニュー原価率に無いメニューです",IF(TRIM(B576)="","食材名がありません",IF(ISNA(MATCH(B576,'食材の単価'!$A$5:$A$204,0)),"食材の単価に無い食材です",IF(NOT(ISNUMBER(C576)),"使用量がありません",IF(NOT(ISNUMBER(E576)),"食材の単価が出ていません（仕入価格・仕入量）","")))))))</f>
        <v/>
      </c>
    </row>
    <row r="577" ht="16" customHeight="1">
      <c r="A577" s="38" t="n"/>
      <c r="B577" s="38" t="n"/>
      <c r="C577" s="39" t="n"/>
      <c r="D577" s="53">
        <f>IF(B577="","",IFERROR(INDEX('食材の単価'!$D$5:$D$204,MATCH(B577,'食材の単価'!$A$5:$A$204,0))&amp;"",""))</f>
        <v/>
      </c>
      <c r="E577" s="80">
        <f>IF(B577="","",IFERROR(INDEX('食材の単価'!$G$5:$G$204,MATCH(B577,'食材の単価'!$A$5:$A$204,0)),""))</f>
        <v/>
      </c>
      <c r="F577" s="78">
        <f>IF(AND(ISNUMBER(C577),ISNUMBER(E577)),C577*E577,"")</f>
        <v/>
      </c>
      <c r="G577" s="33" t="n"/>
      <c r="H577" s="34">
        <f>IF(COUNTA(A577:C577,G577)=0,"",IF(TRIM(A577)="","メニュー名がありません",IF(ISNA(MATCH(A577,'メニュー原価率'!$A$8:$A$107,0)),"メニュー原価率に無いメニューです",IF(TRIM(B577)="","食材名がありません",IF(ISNA(MATCH(B577,'食材の単価'!$A$5:$A$204,0)),"食材の単価に無い食材です",IF(NOT(ISNUMBER(C577)),"使用量がありません",IF(NOT(ISNUMBER(E577)),"食材の単価が出ていません（仕入価格・仕入量）","")))))))</f>
        <v/>
      </c>
    </row>
    <row r="578" ht="16" customHeight="1">
      <c r="A578" s="38" t="n"/>
      <c r="B578" s="38" t="n"/>
      <c r="C578" s="39" t="n"/>
      <c r="D578" s="53">
        <f>IF(B578="","",IFERROR(INDEX('食材の単価'!$D$5:$D$204,MATCH(B578,'食材の単価'!$A$5:$A$204,0))&amp;"",""))</f>
        <v/>
      </c>
      <c r="E578" s="80">
        <f>IF(B578="","",IFERROR(INDEX('食材の単価'!$G$5:$G$204,MATCH(B578,'食材の単価'!$A$5:$A$204,0)),""))</f>
        <v/>
      </c>
      <c r="F578" s="78">
        <f>IF(AND(ISNUMBER(C578),ISNUMBER(E578)),C578*E578,"")</f>
        <v/>
      </c>
      <c r="G578" s="33" t="n"/>
      <c r="H578" s="34">
        <f>IF(COUNTA(A578:C578,G578)=0,"",IF(TRIM(A578)="","メニュー名がありません",IF(ISNA(MATCH(A578,'メニュー原価率'!$A$8:$A$107,0)),"メニュー原価率に無いメニューです",IF(TRIM(B578)="","食材名がありません",IF(ISNA(MATCH(B578,'食材の単価'!$A$5:$A$204,0)),"食材の単価に無い食材です",IF(NOT(ISNUMBER(C578)),"使用量がありません",IF(NOT(ISNUMBER(E578)),"食材の単価が出ていません（仕入価格・仕入量）","")))))))</f>
        <v/>
      </c>
    </row>
    <row r="579" ht="16" customHeight="1">
      <c r="A579" s="38" t="n"/>
      <c r="B579" s="38" t="n"/>
      <c r="C579" s="39" t="n"/>
      <c r="D579" s="53">
        <f>IF(B579="","",IFERROR(INDEX('食材の単価'!$D$5:$D$204,MATCH(B579,'食材の単価'!$A$5:$A$204,0))&amp;"",""))</f>
        <v/>
      </c>
      <c r="E579" s="80">
        <f>IF(B579="","",IFERROR(INDEX('食材の単価'!$G$5:$G$204,MATCH(B579,'食材の単価'!$A$5:$A$204,0)),""))</f>
        <v/>
      </c>
      <c r="F579" s="78">
        <f>IF(AND(ISNUMBER(C579),ISNUMBER(E579)),C579*E579,"")</f>
        <v/>
      </c>
      <c r="G579" s="33" t="n"/>
      <c r="H579" s="34">
        <f>IF(COUNTA(A579:C579,G579)=0,"",IF(TRIM(A579)="","メニュー名がありません",IF(ISNA(MATCH(A579,'メニュー原価率'!$A$8:$A$107,0)),"メニュー原価率に無いメニューです",IF(TRIM(B579)="","食材名がありません",IF(ISNA(MATCH(B579,'食材の単価'!$A$5:$A$204,0)),"食材の単価に無い食材です",IF(NOT(ISNUMBER(C579)),"使用量がありません",IF(NOT(ISNUMBER(E579)),"食材の単価が出ていません（仕入価格・仕入量）","")))))))</f>
        <v/>
      </c>
    </row>
    <row r="580" ht="16" customHeight="1">
      <c r="A580" s="38" t="n"/>
      <c r="B580" s="38" t="n"/>
      <c r="C580" s="39" t="n"/>
      <c r="D580" s="53">
        <f>IF(B580="","",IFERROR(INDEX('食材の単価'!$D$5:$D$204,MATCH(B580,'食材の単価'!$A$5:$A$204,0))&amp;"",""))</f>
        <v/>
      </c>
      <c r="E580" s="80">
        <f>IF(B580="","",IFERROR(INDEX('食材の単価'!$G$5:$G$204,MATCH(B580,'食材の単価'!$A$5:$A$204,0)),""))</f>
        <v/>
      </c>
      <c r="F580" s="78">
        <f>IF(AND(ISNUMBER(C580),ISNUMBER(E580)),C580*E580,"")</f>
        <v/>
      </c>
      <c r="G580" s="33" t="n"/>
      <c r="H580" s="34">
        <f>IF(COUNTA(A580:C580,G580)=0,"",IF(TRIM(A580)="","メニュー名がありません",IF(ISNA(MATCH(A580,'メニュー原価率'!$A$8:$A$107,0)),"メニュー原価率に無いメニューです",IF(TRIM(B580)="","食材名がありません",IF(ISNA(MATCH(B580,'食材の単価'!$A$5:$A$204,0)),"食材の単価に無い食材です",IF(NOT(ISNUMBER(C580)),"使用量がありません",IF(NOT(ISNUMBER(E580)),"食材の単価が出ていません（仕入価格・仕入量）","")))))))</f>
        <v/>
      </c>
    </row>
    <row r="581" ht="16" customHeight="1">
      <c r="A581" s="38" t="n"/>
      <c r="B581" s="38" t="n"/>
      <c r="C581" s="39" t="n"/>
      <c r="D581" s="53">
        <f>IF(B581="","",IFERROR(INDEX('食材の単価'!$D$5:$D$204,MATCH(B581,'食材の単価'!$A$5:$A$204,0))&amp;"",""))</f>
        <v/>
      </c>
      <c r="E581" s="80">
        <f>IF(B581="","",IFERROR(INDEX('食材の単価'!$G$5:$G$204,MATCH(B581,'食材の単価'!$A$5:$A$204,0)),""))</f>
        <v/>
      </c>
      <c r="F581" s="78">
        <f>IF(AND(ISNUMBER(C581),ISNUMBER(E581)),C581*E581,"")</f>
        <v/>
      </c>
      <c r="G581" s="33" t="n"/>
      <c r="H581" s="34">
        <f>IF(COUNTA(A581:C581,G581)=0,"",IF(TRIM(A581)="","メニュー名がありません",IF(ISNA(MATCH(A581,'メニュー原価率'!$A$8:$A$107,0)),"メニュー原価率に無いメニューです",IF(TRIM(B581)="","食材名がありません",IF(ISNA(MATCH(B581,'食材の単価'!$A$5:$A$204,0)),"食材の単価に無い食材です",IF(NOT(ISNUMBER(C581)),"使用量がありません",IF(NOT(ISNUMBER(E581)),"食材の単価が出ていません（仕入価格・仕入量）","")))))))</f>
        <v/>
      </c>
    </row>
    <row r="582" ht="16" customHeight="1">
      <c r="A582" s="38" t="n"/>
      <c r="B582" s="38" t="n"/>
      <c r="C582" s="39" t="n"/>
      <c r="D582" s="53">
        <f>IF(B582="","",IFERROR(INDEX('食材の単価'!$D$5:$D$204,MATCH(B582,'食材の単価'!$A$5:$A$204,0))&amp;"",""))</f>
        <v/>
      </c>
      <c r="E582" s="80">
        <f>IF(B582="","",IFERROR(INDEX('食材の単価'!$G$5:$G$204,MATCH(B582,'食材の単価'!$A$5:$A$204,0)),""))</f>
        <v/>
      </c>
      <c r="F582" s="78">
        <f>IF(AND(ISNUMBER(C582),ISNUMBER(E582)),C582*E582,"")</f>
        <v/>
      </c>
      <c r="G582" s="33" t="n"/>
      <c r="H582" s="34">
        <f>IF(COUNTA(A582:C582,G582)=0,"",IF(TRIM(A582)="","メニュー名がありません",IF(ISNA(MATCH(A582,'メニュー原価率'!$A$8:$A$107,0)),"メニュー原価率に無いメニューです",IF(TRIM(B582)="","食材名がありません",IF(ISNA(MATCH(B582,'食材の単価'!$A$5:$A$204,0)),"食材の単価に無い食材です",IF(NOT(ISNUMBER(C582)),"使用量がありません",IF(NOT(ISNUMBER(E582)),"食材の単価が出ていません（仕入価格・仕入量）","")))))))</f>
        <v/>
      </c>
    </row>
    <row r="583" ht="16" customHeight="1">
      <c r="A583" s="38" t="n"/>
      <c r="B583" s="38" t="n"/>
      <c r="C583" s="39" t="n"/>
      <c r="D583" s="53">
        <f>IF(B583="","",IFERROR(INDEX('食材の単価'!$D$5:$D$204,MATCH(B583,'食材の単価'!$A$5:$A$204,0))&amp;"",""))</f>
        <v/>
      </c>
      <c r="E583" s="80">
        <f>IF(B583="","",IFERROR(INDEX('食材の単価'!$G$5:$G$204,MATCH(B583,'食材の単価'!$A$5:$A$204,0)),""))</f>
        <v/>
      </c>
      <c r="F583" s="78">
        <f>IF(AND(ISNUMBER(C583),ISNUMBER(E583)),C583*E583,"")</f>
        <v/>
      </c>
      <c r="G583" s="33" t="n"/>
      <c r="H583" s="34">
        <f>IF(COUNTA(A583:C583,G583)=0,"",IF(TRIM(A583)="","メニュー名がありません",IF(ISNA(MATCH(A583,'メニュー原価率'!$A$8:$A$107,0)),"メニュー原価率に無いメニューです",IF(TRIM(B583)="","食材名がありません",IF(ISNA(MATCH(B583,'食材の単価'!$A$5:$A$204,0)),"食材の単価に無い食材です",IF(NOT(ISNUMBER(C583)),"使用量がありません",IF(NOT(ISNUMBER(E583)),"食材の単価が出ていません（仕入価格・仕入量）","")))))))</f>
        <v/>
      </c>
    </row>
    <row r="584" ht="16" customHeight="1">
      <c r="A584" s="38" t="n"/>
      <c r="B584" s="38" t="n"/>
      <c r="C584" s="39" t="n"/>
      <c r="D584" s="53">
        <f>IF(B584="","",IFERROR(INDEX('食材の単価'!$D$5:$D$204,MATCH(B584,'食材の単価'!$A$5:$A$204,0))&amp;"",""))</f>
        <v/>
      </c>
      <c r="E584" s="80">
        <f>IF(B584="","",IFERROR(INDEX('食材の単価'!$G$5:$G$204,MATCH(B584,'食材の単価'!$A$5:$A$204,0)),""))</f>
        <v/>
      </c>
      <c r="F584" s="78">
        <f>IF(AND(ISNUMBER(C584),ISNUMBER(E584)),C584*E584,"")</f>
        <v/>
      </c>
      <c r="G584" s="33" t="n"/>
      <c r="H584" s="34">
        <f>IF(COUNTA(A584:C584,G584)=0,"",IF(TRIM(A584)="","メニュー名がありません",IF(ISNA(MATCH(A584,'メニュー原価率'!$A$8:$A$107,0)),"メニュー原価率に無いメニューです",IF(TRIM(B584)="","食材名がありません",IF(ISNA(MATCH(B584,'食材の単価'!$A$5:$A$204,0)),"食材の単価に無い食材です",IF(NOT(ISNUMBER(C584)),"使用量がありません",IF(NOT(ISNUMBER(E584)),"食材の単価が出ていません（仕入価格・仕入量）","")))))))</f>
        <v/>
      </c>
    </row>
    <row r="585" ht="16" customHeight="1">
      <c r="A585" s="38" t="n"/>
      <c r="B585" s="38" t="n"/>
      <c r="C585" s="39" t="n"/>
      <c r="D585" s="53">
        <f>IF(B585="","",IFERROR(INDEX('食材の単価'!$D$5:$D$204,MATCH(B585,'食材の単価'!$A$5:$A$204,0))&amp;"",""))</f>
        <v/>
      </c>
      <c r="E585" s="80">
        <f>IF(B585="","",IFERROR(INDEX('食材の単価'!$G$5:$G$204,MATCH(B585,'食材の単価'!$A$5:$A$204,0)),""))</f>
        <v/>
      </c>
      <c r="F585" s="78">
        <f>IF(AND(ISNUMBER(C585),ISNUMBER(E585)),C585*E585,"")</f>
        <v/>
      </c>
      <c r="G585" s="33" t="n"/>
      <c r="H585" s="34">
        <f>IF(COUNTA(A585:C585,G585)=0,"",IF(TRIM(A585)="","メニュー名がありません",IF(ISNA(MATCH(A585,'メニュー原価率'!$A$8:$A$107,0)),"メニュー原価率に無いメニューです",IF(TRIM(B585)="","食材名がありません",IF(ISNA(MATCH(B585,'食材の単価'!$A$5:$A$204,0)),"食材の単価に無い食材です",IF(NOT(ISNUMBER(C585)),"使用量がありません",IF(NOT(ISNUMBER(E585)),"食材の単価が出ていません（仕入価格・仕入量）","")))))))</f>
        <v/>
      </c>
    </row>
    <row r="586" ht="16" customHeight="1">
      <c r="A586" s="38" t="n"/>
      <c r="B586" s="38" t="n"/>
      <c r="C586" s="39" t="n"/>
      <c r="D586" s="53">
        <f>IF(B586="","",IFERROR(INDEX('食材の単価'!$D$5:$D$204,MATCH(B586,'食材の単価'!$A$5:$A$204,0))&amp;"",""))</f>
        <v/>
      </c>
      <c r="E586" s="80">
        <f>IF(B586="","",IFERROR(INDEX('食材の単価'!$G$5:$G$204,MATCH(B586,'食材の単価'!$A$5:$A$204,0)),""))</f>
        <v/>
      </c>
      <c r="F586" s="78">
        <f>IF(AND(ISNUMBER(C586),ISNUMBER(E586)),C586*E586,"")</f>
        <v/>
      </c>
      <c r="G586" s="33" t="n"/>
      <c r="H586" s="34">
        <f>IF(COUNTA(A586:C586,G586)=0,"",IF(TRIM(A586)="","メニュー名がありません",IF(ISNA(MATCH(A586,'メニュー原価率'!$A$8:$A$107,0)),"メニュー原価率に無いメニューです",IF(TRIM(B586)="","食材名がありません",IF(ISNA(MATCH(B586,'食材の単価'!$A$5:$A$204,0)),"食材の単価に無い食材です",IF(NOT(ISNUMBER(C586)),"使用量がありません",IF(NOT(ISNUMBER(E586)),"食材の単価が出ていません（仕入価格・仕入量）","")))))))</f>
        <v/>
      </c>
    </row>
    <row r="587" ht="16" customHeight="1">
      <c r="A587" s="38" t="n"/>
      <c r="B587" s="38" t="n"/>
      <c r="C587" s="39" t="n"/>
      <c r="D587" s="53">
        <f>IF(B587="","",IFERROR(INDEX('食材の単価'!$D$5:$D$204,MATCH(B587,'食材の単価'!$A$5:$A$204,0))&amp;"",""))</f>
        <v/>
      </c>
      <c r="E587" s="80">
        <f>IF(B587="","",IFERROR(INDEX('食材の単価'!$G$5:$G$204,MATCH(B587,'食材の単価'!$A$5:$A$204,0)),""))</f>
        <v/>
      </c>
      <c r="F587" s="78">
        <f>IF(AND(ISNUMBER(C587),ISNUMBER(E587)),C587*E587,"")</f>
        <v/>
      </c>
      <c r="G587" s="33" t="n"/>
      <c r="H587" s="34">
        <f>IF(COUNTA(A587:C587,G587)=0,"",IF(TRIM(A587)="","メニュー名がありません",IF(ISNA(MATCH(A587,'メニュー原価率'!$A$8:$A$107,0)),"メニュー原価率に無いメニューです",IF(TRIM(B587)="","食材名がありません",IF(ISNA(MATCH(B587,'食材の単価'!$A$5:$A$204,0)),"食材の単価に無い食材です",IF(NOT(ISNUMBER(C587)),"使用量がありません",IF(NOT(ISNUMBER(E587)),"食材の単価が出ていません（仕入価格・仕入量）","")))))))</f>
        <v/>
      </c>
    </row>
    <row r="588" ht="16" customHeight="1">
      <c r="A588" s="38" t="n"/>
      <c r="B588" s="38" t="n"/>
      <c r="C588" s="39" t="n"/>
      <c r="D588" s="53">
        <f>IF(B588="","",IFERROR(INDEX('食材の単価'!$D$5:$D$204,MATCH(B588,'食材の単価'!$A$5:$A$204,0))&amp;"",""))</f>
        <v/>
      </c>
      <c r="E588" s="80">
        <f>IF(B588="","",IFERROR(INDEX('食材の単価'!$G$5:$G$204,MATCH(B588,'食材の単価'!$A$5:$A$204,0)),""))</f>
        <v/>
      </c>
      <c r="F588" s="78">
        <f>IF(AND(ISNUMBER(C588),ISNUMBER(E588)),C588*E588,"")</f>
        <v/>
      </c>
      <c r="G588" s="33" t="n"/>
      <c r="H588" s="34">
        <f>IF(COUNTA(A588:C588,G588)=0,"",IF(TRIM(A588)="","メニュー名がありません",IF(ISNA(MATCH(A588,'メニュー原価率'!$A$8:$A$107,0)),"メニュー原価率に無いメニューです",IF(TRIM(B588)="","食材名がありません",IF(ISNA(MATCH(B588,'食材の単価'!$A$5:$A$204,0)),"食材の単価に無い食材です",IF(NOT(ISNUMBER(C588)),"使用量がありません",IF(NOT(ISNUMBER(E588)),"食材の単価が出ていません（仕入価格・仕入量）","")))))))</f>
        <v/>
      </c>
    </row>
    <row r="589" ht="16" customHeight="1">
      <c r="A589" s="38" t="n"/>
      <c r="B589" s="38" t="n"/>
      <c r="C589" s="39" t="n"/>
      <c r="D589" s="53">
        <f>IF(B589="","",IFERROR(INDEX('食材の単価'!$D$5:$D$204,MATCH(B589,'食材の単価'!$A$5:$A$204,0))&amp;"",""))</f>
        <v/>
      </c>
      <c r="E589" s="80">
        <f>IF(B589="","",IFERROR(INDEX('食材の単価'!$G$5:$G$204,MATCH(B589,'食材の単価'!$A$5:$A$204,0)),""))</f>
        <v/>
      </c>
      <c r="F589" s="78">
        <f>IF(AND(ISNUMBER(C589),ISNUMBER(E589)),C589*E589,"")</f>
        <v/>
      </c>
      <c r="G589" s="33" t="n"/>
      <c r="H589" s="34">
        <f>IF(COUNTA(A589:C589,G589)=0,"",IF(TRIM(A589)="","メニュー名がありません",IF(ISNA(MATCH(A589,'メニュー原価率'!$A$8:$A$107,0)),"メニュー原価率に無いメニューです",IF(TRIM(B589)="","食材名がありません",IF(ISNA(MATCH(B589,'食材の単価'!$A$5:$A$204,0)),"食材の単価に無い食材です",IF(NOT(ISNUMBER(C589)),"使用量がありません",IF(NOT(ISNUMBER(E589)),"食材の単価が出ていません（仕入価格・仕入量）","")))))))</f>
        <v/>
      </c>
    </row>
    <row r="590" ht="16" customHeight="1">
      <c r="A590" s="38" t="n"/>
      <c r="B590" s="38" t="n"/>
      <c r="C590" s="39" t="n"/>
      <c r="D590" s="53">
        <f>IF(B590="","",IFERROR(INDEX('食材の単価'!$D$5:$D$204,MATCH(B590,'食材の単価'!$A$5:$A$204,0))&amp;"",""))</f>
        <v/>
      </c>
      <c r="E590" s="80">
        <f>IF(B590="","",IFERROR(INDEX('食材の単価'!$G$5:$G$204,MATCH(B590,'食材の単価'!$A$5:$A$204,0)),""))</f>
        <v/>
      </c>
      <c r="F590" s="78">
        <f>IF(AND(ISNUMBER(C590),ISNUMBER(E590)),C590*E590,"")</f>
        <v/>
      </c>
      <c r="G590" s="33" t="n"/>
      <c r="H590" s="34">
        <f>IF(COUNTA(A590:C590,G590)=0,"",IF(TRIM(A590)="","メニュー名がありません",IF(ISNA(MATCH(A590,'メニュー原価率'!$A$8:$A$107,0)),"メニュー原価率に無いメニューです",IF(TRIM(B590)="","食材名がありません",IF(ISNA(MATCH(B590,'食材の単価'!$A$5:$A$204,0)),"食材の単価に無い食材です",IF(NOT(ISNUMBER(C590)),"使用量がありません",IF(NOT(ISNUMBER(E590)),"食材の単価が出ていません（仕入価格・仕入量）","")))))))</f>
        <v/>
      </c>
    </row>
    <row r="591" ht="16" customHeight="1">
      <c r="A591" s="38" t="n"/>
      <c r="B591" s="38" t="n"/>
      <c r="C591" s="39" t="n"/>
      <c r="D591" s="53">
        <f>IF(B591="","",IFERROR(INDEX('食材の単価'!$D$5:$D$204,MATCH(B591,'食材の単価'!$A$5:$A$204,0))&amp;"",""))</f>
        <v/>
      </c>
      <c r="E591" s="80">
        <f>IF(B591="","",IFERROR(INDEX('食材の単価'!$G$5:$G$204,MATCH(B591,'食材の単価'!$A$5:$A$204,0)),""))</f>
        <v/>
      </c>
      <c r="F591" s="78">
        <f>IF(AND(ISNUMBER(C591),ISNUMBER(E591)),C591*E591,"")</f>
        <v/>
      </c>
      <c r="G591" s="33" t="n"/>
      <c r="H591" s="34">
        <f>IF(COUNTA(A591:C591,G591)=0,"",IF(TRIM(A591)="","メニュー名がありません",IF(ISNA(MATCH(A591,'メニュー原価率'!$A$8:$A$107,0)),"メニュー原価率に無いメニューです",IF(TRIM(B591)="","食材名がありません",IF(ISNA(MATCH(B591,'食材の単価'!$A$5:$A$204,0)),"食材の単価に無い食材です",IF(NOT(ISNUMBER(C591)),"使用量がありません",IF(NOT(ISNUMBER(E591)),"食材の単価が出ていません（仕入価格・仕入量）","")))))))</f>
        <v/>
      </c>
    </row>
    <row r="592" ht="16" customHeight="1">
      <c r="A592" s="38" t="n"/>
      <c r="B592" s="38" t="n"/>
      <c r="C592" s="39" t="n"/>
      <c r="D592" s="53">
        <f>IF(B592="","",IFERROR(INDEX('食材の単価'!$D$5:$D$204,MATCH(B592,'食材の単価'!$A$5:$A$204,0))&amp;"",""))</f>
        <v/>
      </c>
      <c r="E592" s="80">
        <f>IF(B592="","",IFERROR(INDEX('食材の単価'!$G$5:$G$204,MATCH(B592,'食材の単価'!$A$5:$A$204,0)),""))</f>
        <v/>
      </c>
      <c r="F592" s="78">
        <f>IF(AND(ISNUMBER(C592),ISNUMBER(E592)),C592*E592,"")</f>
        <v/>
      </c>
      <c r="G592" s="33" t="n"/>
      <c r="H592" s="34">
        <f>IF(COUNTA(A592:C592,G592)=0,"",IF(TRIM(A592)="","メニュー名がありません",IF(ISNA(MATCH(A592,'メニュー原価率'!$A$8:$A$107,0)),"メニュー原価率に無いメニューです",IF(TRIM(B592)="","食材名がありません",IF(ISNA(MATCH(B592,'食材の単価'!$A$5:$A$204,0)),"食材の単価に無い食材です",IF(NOT(ISNUMBER(C592)),"使用量がありません",IF(NOT(ISNUMBER(E592)),"食材の単価が出ていません（仕入価格・仕入量）","")))))))</f>
        <v/>
      </c>
    </row>
    <row r="593" ht="16" customHeight="1">
      <c r="A593" s="38" t="n"/>
      <c r="B593" s="38" t="n"/>
      <c r="C593" s="39" t="n"/>
      <c r="D593" s="53">
        <f>IF(B593="","",IFERROR(INDEX('食材の単価'!$D$5:$D$204,MATCH(B593,'食材の単価'!$A$5:$A$204,0))&amp;"",""))</f>
        <v/>
      </c>
      <c r="E593" s="80">
        <f>IF(B593="","",IFERROR(INDEX('食材の単価'!$G$5:$G$204,MATCH(B593,'食材の単価'!$A$5:$A$204,0)),""))</f>
        <v/>
      </c>
      <c r="F593" s="78">
        <f>IF(AND(ISNUMBER(C593),ISNUMBER(E593)),C593*E593,"")</f>
        <v/>
      </c>
      <c r="G593" s="33" t="n"/>
      <c r="H593" s="34">
        <f>IF(COUNTA(A593:C593,G593)=0,"",IF(TRIM(A593)="","メニュー名がありません",IF(ISNA(MATCH(A593,'メニュー原価率'!$A$8:$A$107,0)),"メニュー原価率に無いメニューです",IF(TRIM(B593)="","食材名がありません",IF(ISNA(MATCH(B593,'食材の単価'!$A$5:$A$204,0)),"食材の単価に無い食材です",IF(NOT(ISNUMBER(C593)),"使用量がありません",IF(NOT(ISNUMBER(E593)),"食材の単価が出ていません（仕入価格・仕入量）","")))))))</f>
        <v/>
      </c>
    </row>
    <row r="594" ht="16" customHeight="1">
      <c r="A594" s="38" t="n"/>
      <c r="B594" s="38" t="n"/>
      <c r="C594" s="39" t="n"/>
      <c r="D594" s="53">
        <f>IF(B594="","",IFERROR(INDEX('食材の単価'!$D$5:$D$204,MATCH(B594,'食材の単価'!$A$5:$A$204,0))&amp;"",""))</f>
        <v/>
      </c>
      <c r="E594" s="80">
        <f>IF(B594="","",IFERROR(INDEX('食材の単価'!$G$5:$G$204,MATCH(B594,'食材の単価'!$A$5:$A$204,0)),""))</f>
        <v/>
      </c>
      <c r="F594" s="78">
        <f>IF(AND(ISNUMBER(C594),ISNUMBER(E594)),C594*E594,"")</f>
        <v/>
      </c>
      <c r="G594" s="33" t="n"/>
      <c r="H594" s="34">
        <f>IF(COUNTA(A594:C594,G594)=0,"",IF(TRIM(A594)="","メニュー名がありません",IF(ISNA(MATCH(A594,'メニュー原価率'!$A$8:$A$107,0)),"メニュー原価率に無いメニューです",IF(TRIM(B594)="","食材名がありません",IF(ISNA(MATCH(B594,'食材の単価'!$A$5:$A$204,0)),"食材の単価に無い食材です",IF(NOT(ISNUMBER(C594)),"使用量がありません",IF(NOT(ISNUMBER(E594)),"食材の単価が出ていません（仕入価格・仕入量）","")))))))</f>
        <v/>
      </c>
    </row>
    <row r="595" ht="16" customHeight="1">
      <c r="A595" s="38" t="n"/>
      <c r="B595" s="38" t="n"/>
      <c r="C595" s="39" t="n"/>
      <c r="D595" s="53">
        <f>IF(B595="","",IFERROR(INDEX('食材の単価'!$D$5:$D$204,MATCH(B595,'食材の単価'!$A$5:$A$204,0))&amp;"",""))</f>
        <v/>
      </c>
      <c r="E595" s="80">
        <f>IF(B595="","",IFERROR(INDEX('食材の単価'!$G$5:$G$204,MATCH(B595,'食材の単価'!$A$5:$A$204,0)),""))</f>
        <v/>
      </c>
      <c r="F595" s="78">
        <f>IF(AND(ISNUMBER(C595),ISNUMBER(E595)),C595*E595,"")</f>
        <v/>
      </c>
      <c r="G595" s="33" t="n"/>
      <c r="H595" s="34">
        <f>IF(COUNTA(A595:C595,G595)=0,"",IF(TRIM(A595)="","メニュー名がありません",IF(ISNA(MATCH(A595,'メニュー原価率'!$A$8:$A$107,0)),"メニュー原価率に無いメニューです",IF(TRIM(B595)="","食材名がありません",IF(ISNA(MATCH(B595,'食材の単価'!$A$5:$A$204,0)),"食材の単価に無い食材です",IF(NOT(ISNUMBER(C595)),"使用量がありません",IF(NOT(ISNUMBER(E595)),"食材の単価が出ていません（仕入価格・仕入量）","")))))))</f>
        <v/>
      </c>
    </row>
    <row r="596" ht="16" customHeight="1">
      <c r="A596" s="38" t="n"/>
      <c r="B596" s="38" t="n"/>
      <c r="C596" s="39" t="n"/>
      <c r="D596" s="53">
        <f>IF(B596="","",IFERROR(INDEX('食材の単価'!$D$5:$D$204,MATCH(B596,'食材の単価'!$A$5:$A$204,0))&amp;"",""))</f>
        <v/>
      </c>
      <c r="E596" s="80">
        <f>IF(B596="","",IFERROR(INDEX('食材の単価'!$G$5:$G$204,MATCH(B596,'食材の単価'!$A$5:$A$204,0)),""))</f>
        <v/>
      </c>
      <c r="F596" s="78">
        <f>IF(AND(ISNUMBER(C596),ISNUMBER(E596)),C596*E596,"")</f>
        <v/>
      </c>
      <c r="G596" s="33" t="n"/>
      <c r="H596" s="34">
        <f>IF(COUNTA(A596:C596,G596)=0,"",IF(TRIM(A596)="","メニュー名がありません",IF(ISNA(MATCH(A596,'メニュー原価率'!$A$8:$A$107,0)),"メニュー原価率に無いメニューです",IF(TRIM(B596)="","食材名がありません",IF(ISNA(MATCH(B596,'食材の単価'!$A$5:$A$204,0)),"食材の単価に無い食材です",IF(NOT(ISNUMBER(C596)),"使用量がありません",IF(NOT(ISNUMBER(E596)),"食材の単価が出ていません（仕入価格・仕入量）","")))))))</f>
        <v/>
      </c>
    </row>
    <row r="597" ht="16" customHeight="1">
      <c r="A597" s="38" t="n"/>
      <c r="B597" s="38" t="n"/>
      <c r="C597" s="39" t="n"/>
      <c r="D597" s="53">
        <f>IF(B597="","",IFERROR(INDEX('食材の単価'!$D$5:$D$204,MATCH(B597,'食材の単価'!$A$5:$A$204,0))&amp;"",""))</f>
        <v/>
      </c>
      <c r="E597" s="80">
        <f>IF(B597="","",IFERROR(INDEX('食材の単価'!$G$5:$G$204,MATCH(B597,'食材の単価'!$A$5:$A$204,0)),""))</f>
        <v/>
      </c>
      <c r="F597" s="78">
        <f>IF(AND(ISNUMBER(C597),ISNUMBER(E597)),C597*E597,"")</f>
        <v/>
      </c>
      <c r="G597" s="33" t="n"/>
      <c r="H597" s="34">
        <f>IF(COUNTA(A597:C597,G597)=0,"",IF(TRIM(A597)="","メニュー名がありません",IF(ISNA(MATCH(A597,'メニュー原価率'!$A$8:$A$107,0)),"メニュー原価率に無いメニューです",IF(TRIM(B597)="","食材名がありません",IF(ISNA(MATCH(B597,'食材の単価'!$A$5:$A$204,0)),"食材の単価に無い食材です",IF(NOT(ISNUMBER(C597)),"使用量がありません",IF(NOT(ISNUMBER(E597)),"食材の単価が出ていません（仕入価格・仕入量）","")))))))</f>
        <v/>
      </c>
    </row>
    <row r="598" ht="16" customHeight="1">
      <c r="A598" s="38" t="n"/>
      <c r="B598" s="38" t="n"/>
      <c r="C598" s="39" t="n"/>
      <c r="D598" s="53">
        <f>IF(B598="","",IFERROR(INDEX('食材の単価'!$D$5:$D$204,MATCH(B598,'食材の単価'!$A$5:$A$204,0))&amp;"",""))</f>
        <v/>
      </c>
      <c r="E598" s="80">
        <f>IF(B598="","",IFERROR(INDEX('食材の単価'!$G$5:$G$204,MATCH(B598,'食材の単価'!$A$5:$A$204,0)),""))</f>
        <v/>
      </c>
      <c r="F598" s="78">
        <f>IF(AND(ISNUMBER(C598),ISNUMBER(E598)),C598*E598,"")</f>
        <v/>
      </c>
      <c r="G598" s="33" t="n"/>
      <c r="H598" s="34">
        <f>IF(COUNTA(A598:C598,G598)=0,"",IF(TRIM(A598)="","メニュー名がありません",IF(ISNA(MATCH(A598,'メニュー原価率'!$A$8:$A$107,0)),"メニュー原価率に無いメニューです",IF(TRIM(B598)="","食材名がありません",IF(ISNA(MATCH(B598,'食材の単価'!$A$5:$A$204,0)),"食材の単価に無い食材です",IF(NOT(ISNUMBER(C598)),"使用量がありません",IF(NOT(ISNUMBER(E598)),"食材の単価が出ていません（仕入価格・仕入量）","")))))))</f>
        <v/>
      </c>
    </row>
    <row r="599" ht="16" customHeight="1">
      <c r="A599" s="38" t="n"/>
      <c r="B599" s="38" t="n"/>
      <c r="C599" s="39" t="n"/>
      <c r="D599" s="53">
        <f>IF(B599="","",IFERROR(INDEX('食材の単価'!$D$5:$D$204,MATCH(B599,'食材の単価'!$A$5:$A$204,0))&amp;"",""))</f>
        <v/>
      </c>
      <c r="E599" s="80">
        <f>IF(B599="","",IFERROR(INDEX('食材の単価'!$G$5:$G$204,MATCH(B599,'食材の単価'!$A$5:$A$204,0)),""))</f>
        <v/>
      </c>
      <c r="F599" s="78">
        <f>IF(AND(ISNUMBER(C599),ISNUMBER(E599)),C599*E599,"")</f>
        <v/>
      </c>
      <c r="G599" s="33" t="n"/>
      <c r="H599" s="34">
        <f>IF(COUNTA(A599:C599,G599)=0,"",IF(TRIM(A599)="","メニュー名がありません",IF(ISNA(MATCH(A599,'メニュー原価率'!$A$8:$A$107,0)),"メニュー原価率に無いメニューです",IF(TRIM(B599)="","食材名がありません",IF(ISNA(MATCH(B599,'食材の単価'!$A$5:$A$204,0)),"食材の単価に無い食材です",IF(NOT(ISNUMBER(C599)),"使用量がありません",IF(NOT(ISNUMBER(E599)),"食材の単価が出ていません（仕入価格・仕入量）","")))))))</f>
        <v/>
      </c>
    </row>
    <row r="600" ht="16" customHeight="1">
      <c r="A600" s="38" t="n"/>
      <c r="B600" s="38" t="n"/>
      <c r="C600" s="39" t="n"/>
      <c r="D600" s="53">
        <f>IF(B600="","",IFERROR(INDEX('食材の単価'!$D$5:$D$204,MATCH(B600,'食材の単価'!$A$5:$A$204,0))&amp;"",""))</f>
        <v/>
      </c>
      <c r="E600" s="80">
        <f>IF(B600="","",IFERROR(INDEX('食材の単価'!$G$5:$G$204,MATCH(B600,'食材の単価'!$A$5:$A$204,0)),""))</f>
        <v/>
      </c>
      <c r="F600" s="78">
        <f>IF(AND(ISNUMBER(C600),ISNUMBER(E600)),C600*E600,"")</f>
        <v/>
      </c>
      <c r="G600" s="33" t="n"/>
      <c r="H600" s="34">
        <f>IF(COUNTA(A600:C600,G600)=0,"",IF(TRIM(A600)="","メニュー名がありません",IF(ISNA(MATCH(A600,'メニュー原価率'!$A$8:$A$107,0)),"メニュー原価率に無いメニューです",IF(TRIM(B600)="","食材名がありません",IF(ISNA(MATCH(B600,'食材の単価'!$A$5:$A$204,0)),"食材の単価に無い食材です",IF(NOT(ISNUMBER(C600)),"使用量がありません",IF(NOT(ISNUMBER(E600)),"食材の単価が出ていません（仕入価格・仕入量）","")))))))</f>
        <v/>
      </c>
    </row>
    <row r="601" ht="16" customHeight="1">
      <c r="A601" s="38" t="n"/>
      <c r="B601" s="38" t="n"/>
      <c r="C601" s="39" t="n"/>
      <c r="D601" s="53">
        <f>IF(B601="","",IFERROR(INDEX('食材の単価'!$D$5:$D$204,MATCH(B601,'食材の単価'!$A$5:$A$204,0))&amp;"",""))</f>
        <v/>
      </c>
      <c r="E601" s="80">
        <f>IF(B601="","",IFERROR(INDEX('食材の単価'!$G$5:$G$204,MATCH(B601,'食材の単価'!$A$5:$A$204,0)),""))</f>
        <v/>
      </c>
      <c r="F601" s="78">
        <f>IF(AND(ISNUMBER(C601),ISNUMBER(E601)),C601*E601,"")</f>
        <v/>
      </c>
      <c r="G601" s="33" t="n"/>
      <c r="H601" s="34">
        <f>IF(COUNTA(A601:C601,G601)=0,"",IF(TRIM(A601)="","メニュー名がありません",IF(ISNA(MATCH(A601,'メニュー原価率'!$A$8:$A$107,0)),"メニュー原価率に無いメニューです",IF(TRIM(B601)="","食材名がありません",IF(ISNA(MATCH(B601,'食材の単価'!$A$5:$A$204,0)),"食材の単価に無い食材です",IF(NOT(ISNUMBER(C601)),"使用量がありません",IF(NOT(ISNUMBER(E601)),"食材の単価が出ていません（仕入価格・仕入量）","")))))))</f>
        <v/>
      </c>
    </row>
    <row r="602" ht="16" customHeight="1">
      <c r="A602" s="38" t="n"/>
      <c r="B602" s="38" t="n"/>
      <c r="C602" s="39" t="n"/>
      <c r="D602" s="53">
        <f>IF(B602="","",IFERROR(INDEX('食材の単価'!$D$5:$D$204,MATCH(B602,'食材の単価'!$A$5:$A$204,0))&amp;"",""))</f>
        <v/>
      </c>
      <c r="E602" s="80">
        <f>IF(B602="","",IFERROR(INDEX('食材の単価'!$G$5:$G$204,MATCH(B602,'食材の単価'!$A$5:$A$204,0)),""))</f>
        <v/>
      </c>
      <c r="F602" s="78">
        <f>IF(AND(ISNUMBER(C602),ISNUMBER(E602)),C602*E602,"")</f>
        <v/>
      </c>
      <c r="G602" s="33" t="n"/>
      <c r="H602" s="34">
        <f>IF(COUNTA(A602:C602,G602)=0,"",IF(TRIM(A602)="","メニュー名がありません",IF(ISNA(MATCH(A602,'メニュー原価率'!$A$8:$A$107,0)),"メニュー原価率に無いメニューです",IF(TRIM(B602)="","食材名がありません",IF(ISNA(MATCH(B602,'食材の単価'!$A$5:$A$204,0)),"食材の単価に無い食材です",IF(NOT(ISNUMBER(C602)),"使用量がありません",IF(NOT(ISNUMBER(E602)),"食材の単価が出ていません（仕入価格・仕入量）","")))))))</f>
        <v/>
      </c>
    </row>
    <row r="603" ht="16" customHeight="1">
      <c r="A603" s="38" t="n"/>
      <c r="B603" s="38" t="n"/>
      <c r="C603" s="39" t="n"/>
      <c r="D603" s="53">
        <f>IF(B603="","",IFERROR(INDEX('食材の単価'!$D$5:$D$204,MATCH(B603,'食材の単価'!$A$5:$A$204,0))&amp;"",""))</f>
        <v/>
      </c>
      <c r="E603" s="80">
        <f>IF(B603="","",IFERROR(INDEX('食材の単価'!$G$5:$G$204,MATCH(B603,'食材の単価'!$A$5:$A$204,0)),""))</f>
        <v/>
      </c>
      <c r="F603" s="78">
        <f>IF(AND(ISNUMBER(C603),ISNUMBER(E603)),C603*E603,"")</f>
        <v/>
      </c>
      <c r="G603" s="33" t="n"/>
      <c r="H603" s="34">
        <f>IF(COUNTA(A603:C603,G603)=0,"",IF(TRIM(A603)="","メニュー名がありません",IF(ISNA(MATCH(A603,'メニュー原価率'!$A$8:$A$107,0)),"メニュー原価率に無いメニューです",IF(TRIM(B603)="","食材名がありません",IF(ISNA(MATCH(B603,'食材の単価'!$A$5:$A$204,0)),"食材の単価に無い食材です",IF(NOT(ISNUMBER(C603)),"使用量がありません",IF(NOT(ISNUMBER(E603)),"食材の単価が出ていません（仕入価格・仕入量）","")))))))</f>
        <v/>
      </c>
    </row>
    <row r="604" ht="16" customHeight="1">
      <c r="A604" s="38" t="n"/>
      <c r="B604" s="38" t="n"/>
      <c r="C604" s="39" t="n"/>
      <c r="D604" s="53">
        <f>IF(B604="","",IFERROR(INDEX('食材の単価'!$D$5:$D$204,MATCH(B604,'食材の単価'!$A$5:$A$204,0))&amp;"",""))</f>
        <v/>
      </c>
      <c r="E604" s="80">
        <f>IF(B604="","",IFERROR(INDEX('食材の単価'!$G$5:$G$204,MATCH(B604,'食材の単価'!$A$5:$A$204,0)),""))</f>
        <v/>
      </c>
      <c r="F604" s="78">
        <f>IF(AND(ISNUMBER(C604),ISNUMBER(E604)),C604*E604,"")</f>
        <v/>
      </c>
      <c r="G604" s="33" t="n"/>
      <c r="H604" s="34">
        <f>IF(COUNTA(A604:C604,G604)=0,"",IF(TRIM(A604)="","メニュー名がありません",IF(ISNA(MATCH(A604,'メニュー原価率'!$A$8:$A$107,0)),"メニュー原価率に無いメニューです",IF(TRIM(B604)="","食材名がありません",IF(ISNA(MATCH(B604,'食材の単価'!$A$5:$A$204,0)),"食材の単価に無い食材です",IF(NOT(ISNUMBER(C604)),"使用量がありません",IF(NOT(ISNUMBER(E604)),"食材の単価が出ていません（仕入価格・仕入量）","")))))))</f>
        <v/>
      </c>
    </row>
  </sheetData>
  <autoFilter ref="A4:H604"/>
  <mergeCells count="3">
    <mergeCell ref="A3:H3"/>
    <mergeCell ref="A2:H2"/>
    <mergeCell ref="A1:H1"/>
  </mergeCells>
  <conditionalFormatting sqref="H5:H604">
    <cfRule type="expression" priority="1" dxfId="1">
      <formula>LEN(H5)&gt;0</formula>
    </cfRule>
  </conditionalFormatting>
  <dataValidations count="3">
    <dataValidation sqref="A5:A604" showDropDown="0" showInputMessage="0" showErrorMessage="1" allowBlank="1" errorTitle="一覧から選んでください" error="メニュー原価率シートにあるメニューを選んでください。" type="list">
      <formula1>'メニュー原価率'!$A$8:$A$107</formula1>
    </dataValidation>
    <dataValidation sqref="B5:B604" showDropDown="0" showInputMessage="0" showErrorMessage="1" allowBlank="1" errorTitle="一覧から選んでください" error="食材の単価シートにある食材を選んでください。" type="list">
      <formula1>'食材の単価'!$A$5:$A$204</formula1>
    </dataValidation>
    <dataValidation sqref="C5:C604" showDropDown="0" showInputMessage="0" showErrorMessage="1" allowBlank="1" errorTitle="数字を入れてください" error="0以上の数字を入れてください。" type="decimal" operator="between">
      <formula1>0</formula1>
      <formula2>999999999</formula2>
    </dataValidation>
  </dataValidations>
  <printOptions horizontalCentered="1"/>
  <pageMargins left="0.4" right="0.4" top="0.45" bottom="0.45" header="0.2" footer="0.2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2026-10-02T18:42:35Z</dcterms:created>
  <dcterms:modified xmlns:dcterms="http://purl.org/dc/terms/" xmlns:xsi="http://www.w3.org/2001/XMLSchema-instance" xsi:type="dcterms:W3CDTF">2026-10-02T18:42:43Z</dcterms:modified>
</cp:coreProperties>
</file>