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契約条件入力" sheetId="1" state="visible" r:id="rId1"/>
    <sheet xmlns:r="http://schemas.openxmlformats.org/officeDocument/2006/relationships" name="初期費用計算" sheetId="2" state="visible" r:id="rId2"/>
    <sheet xmlns:r="http://schemas.openxmlformats.org/officeDocument/2006/relationships" name="月次支払表" sheetId="3" state="visible" r:id="rId3"/>
    <sheet xmlns:r="http://schemas.openxmlformats.org/officeDocument/2006/relationships" name="更新通知" sheetId="4" state="visible" r:id="rId4"/>
    <sheet xmlns:r="http://schemas.openxmlformats.org/officeDocument/2006/relationships" name="使い方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/m/d"/>
    <numFmt numFmtId="165" formatCode="#,##0&quot;円&quot;"/>
    <numFmt numFmtId="166" formatCode="0&quot;日&quot;"/>
  </numFmts>
  <fonts count="8">
    <font>
      <name val="Calibri"/>
      <family val="2"/>
      <color theme="1"/>
      <sz val="11"/>
      <scheme val="minor"/>
    </font>
    <font>
      <name val="ＭＳ Ｐゴシック"/>
      <b val="1"/>
      <color rgb="00FFFFFF"/>
      <sz val="14"/>
    </font>
    <font>
      <name val="ＭＳ Ｐゴシック"/>
      <b val="1"/>
      <color rgb="00FFFFFF"/>
      <sz val="9"/>
    </font>
    <font>
      <name val="ＭＳ Ｐゴシック"/>
      <b val="1"/>
      <color rgb="00000000"/>
      <sz val="10"/>
    </font>
    <font>
      <name val="ＭＳ Ｐゴシック"/>
      <color rgb="00000000"/>
      <sz val="10"/>
    </font>
    <font>
      <name val="ＭＳ Ｐゴシック"/>
      <color rgb="00000000"/>
      <sz val="9"/>
    </font>
    <font>
      <name val="ＭＳ Ｐゴシック"/>
      <b val="1"/>
      <color rgb="00000000"/>
      <sz val="11"/>
    </font>
    <font>
      <name val="ＭＳ Ｐゴシック"/>
      <b val="1"/>
      <color rgb="00C0392B"/>
      <sz val="11"/>
    </font>
  </fonts>
  <fills count="7">
    <fill>
      <patternFill/>
    </fill>
    <fill>
      <patternFill patternType="gray125"/>
    </fill>
    <fill>
      <patternFill patternType="solid">
        <fgColor rgb="004A6FA5"/>
      </patternFill>
    </fill>
    <fill>
      <patternFill patternType="solid">
        <fgColor rgb="00F8F9FA"/>
      </patternFill>
    </fill>
    <fill>
      <patternFill patternType="solid">
        <fgColor rgb="00FFF9E6"/>
      </patternFill>
    </fill>
    <fill>
      <patternFill patternType="solid">
        <fgColor rgb="0027AE60"/>
      </patternFill>
    </fill>
    <fill>
      <patternFill patternType="solid">
        <fgColor rgb="00E8F0FE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4" fillId="4" borderId="1" applyAlignment="1" pivotButton="0" quotePrefix="0" xfId="0">
      <alignment horizontal="right" vertical="center" wrapText="1"/>
    </xf>
    <xf numFmtId="0" fontId="1" fillId="5" borderId="0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3" fontId="5" fillId="4" borderId="1" applyAlignment="1" pivotButton="0" quotePrefix="0" xfId="0">
      <alignment horizontal="right" vertical="center" wrapText="1"/>
    </xf>
    <xf numFmtId="0" fontId="6" fillId="0" borderId="1" pivotButton="0" quotePrefix="0" xfId="0"/>
    <xf numFmtId="3" fontId="7" fillId="4" borderId="1" pivotButton="0" quotePrefix="0" xfId="0"/>
    <xf numFmtId="0" fontId="5" fillId="0" borderId="1" pivotButton="0" quotePrefix="0" xfId="0"/>
    <xf numFmtId="164" fontId="5" fillId="0" borderId="1" pivotButton="0" quotePrefix="0" xfId="0"/>
    <xf numFmtId="3" fontId="5" fillId="0" borderId="1" applyAlignment="1" pivotButton="0" quotePrefix="0" xfId="0">
      <alignment horizontal="right" vertical="center" wrapText="1"/>
    </xf>
    <xf numFmtId="0" fontId="4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164" fontId="4" fillId="0" borderId="1" applyAlignment="1" pivotButton="0" quotePrefix="0" xfId="0">
      <alignment horizontal="left" vertical="center" wrapText="1"/>
    </xf>
    <xf numFmtId="165" fontId="4" fillId="0" borderId="1" applyAlignment="1" pivotButton="0" quotePrefix="0" xfId="0">
      <alignment horizontal="left" vertical="center" wrapText="1"/>
    </xf>
    <xf numFmtId="166" fontId="4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1">
    <dxf>
      <font>
        <b val="1"/>
        <color rgb="00C0392B"/>
      </font>
      <fill>
        <patternFill patternType="solid">
          <fgColor rgb="00FADBD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14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18" customWidth="1" min="3" max="3"/>
    <col width="4" customWidth="1" min="4" max="4"/>
    <col width="22" customWidth="1" min="5" max="5"/>
    <col width="18" customWidth="1" min="6" max="6"/>
  </cols>
  <sheetData>
    <row r="1" ht="28" customHeight="1">
      <c r="A1" s="1" t="inlineStr">
        <is>
          <t>賃貸借契約 条件入力シート</t>
        </is>
      </c>
    </row>
    <row r="3">
      <c r="A3" s="2" t="inlineStr">
        <is>
          <t>物件情報</t>
        </is>
      </c>
      <c r="B3" s="3" t="inlineStr">
        <is>
          <t>物件名</t>
        </is>
      </c>
      <c r="C3" s="4" t="inlineStr"/>
      <c r="D3" s="5" t="n"/>
      <c r="E3" s="3" t="inlineStr">
        <is>
          <t>号室</t>
        </is>
      </c>
      <c r="F3" s="4" t="inlineStr"/>
    </row>
    <row r="4">
      <c r="A4" s="2" t="inlineStr">
        <is>
          <t>物件情報</t>
        </is>
      </c>
      <c r="B4" s="3" t="inlineStr">
        <is>
          <t>所在地</t>
        </is>
      </c>
      <c r="C4" s="4" t="inlineStr"/>
      <c r="D4" s="5" t="n"/>
      <c r="E4" s="3" t="inlineStr">
        <is>
          <t>構造</t>
        </is>
      </c>
      <c r="F4" s="4" t="inlineStr">
        <is>
          <t>木造</t>
        </is>
      </c>
    </row>
    <row r="5">
      <c r="A5" s="2" t="inlineStr">
        <is>
          <t>物件情報</t>
        </is>
      </c>
      <c r="B5" s="3" t="inlineStr">
        <is>
          <t>専有面積（㎡）</t>
        </is>
      </c>
      <c r="C5" s="6" t="n">
        <v>35.5</v>
      </c>
      <c r="D5" s="5" t="n"/>
      <c r="E5" s="3" t="inlineStr">
        <is>
          <t>建築年月</t>
        </is>
      </c>
      <c r="F5" s="4" t="inlineStr">
        <is>
          <t>2018-04</t>
        </is>
      </c>
    </row>
    <row r="6">
      <c r="A6" s="2" t="inlineStr">
        <is>
          <t>物件情報</t>
        </is>
      </c>
      <c r="B6" s="3" t="inlineStr">
        <is>
          <t>間取り</t>
        </is>
      </c>
      <c r="C6" s="4" t="inlineStr">
        <is>
          <t>1LDK</t>
        </is>
      </c>
      <c r="D6" s="5" t="n"/>
      <c r="E6" s="3" t="inlineStr">
        <is>
          <t>駐車場</t>
        </is>
      </c>
      <c r="F6" s="4" t="inlineStr"/>
    </row>
    <row r="7">
      <c r="A7" s="2" t="inlineStr">
        <is>
          <t>契約条件</t>
        </is>
      </c>
      <c r="B7" s="3" t="inlineStr">
        <is>
          <t>契約期間（年）</t>
        </is>
      </c>
      <c r="C7" s="6" t="n">
        <v>2</v>
      </c>
      <c r="D7" s="5" t="n"/>
      <c r="E7" s="3" t="inlineStr">
        <is>
          <t>更新区分</t>
        </is>
      </c>
      <c r="F7" s="4" t="inlineStr">
        <is>
          <t>普通借家</t>
        </is>
      </c>
    </row>
    <row r="8">
      <c r="A8" s="2" t="inlineStr">
        <is>
          <t>契約条件</t>
        </is>
      </c>
      <c r="B8" s="3" t="inlineStr">
        <is>
          <t>契約開始日</t>
        </is>
      </c>
      <c r="C8" s="4" t="inlineStr">
        <is>
          <t>2026-04-01</t>
        </is>
      </c>
      <c r="D8" s="5" t="n"/>
      <c r="E8" s="3" t="inlineStr">
        <is>
          <t>契約終了日</t>
        </is>
      </c>
      <c r="F8" s="4">
        <f>ROUNDDOWN(EDATE(F6,C6*12)-1,0)</f>
        <v/>
      </c>
    </row>
    <row r="9">
      <c r="A9" s="2" t="inlineStr">
        <is>
          <t>契約条件</t>
        </is>
      </c>
      <c r="B9" s="3" t="inlineStr">
        <is>
          <t>入居日</t>
        </is>
      </c>
      <c r="C9" s="4" t="inlineStr">
        <is>
          <t>2026-04-01</t>
        </is>
      </c>
      <c r="D9" s="5" t="n"/>
      <c r="E9" s="3" t="inlineStr">
        <is>
          <t>退去日</t>
        </is>
      </c>
      <c r="F9" s="4" t="inlineStr"/>
    </row>
    <row r="10">
      <c r="A10" s="2" t="inlineStr">
        <is>
          <t>賃料条件</t>
        </is>
      </c>
      <c r="B10" s="3" t="inlineStr">
        <is>
          <t>月額賃料（円）</t>
        </is>
      </c>
      <c r="C10" s="6" t="n">
        <v>85000</v>
      </c>
      <c r="D10" s="5" t="n"/>
      <c r="E10" s="3" t="inlineStr">
        <is>
          <t>共益費（円）</t>
        </is>
      </c>
      <c r="F10" s="6" t="n">
        <v>5000</v>
      </c>
    </row>
    <row r="11">
      <c r="A11" s="2" t="inlineStr">
        <is>
          <t>賃料条件</t>
        </is>
      </c>
      <c r="B11" s="3" t="inlineStr">
        <is>
          <t>敷金（月数）</t>
        </is>
      </c>
      <c r="C11" s="6" t="n">
        <v>1</v>
      </c>
      <c r="D11" s="5" t="n"/>
      <c r="E11" s="3" t="inlineStr">
        <is>
          <t>礼金（月数）</t>
        </is>
      </c>
      <c r="F11" s="6" t="n">
        <v>1</v>
      </c>
    </row>
    <row r="12">
      <c r="A12" s="2" t="inlineStr">
        <is>
          <t>賃料条件</t>
        </is>
      </c>
      <c r="B12" s="3" t="inlineStr">
        <is>
          <t>更新料（新賃料の月数）</t>
        </is>
      </c>
      <c r="C12" s="6" t="n">
        <v>1</v>
      </c>
      <c r="D12" s="5" t="n"/>
      <c r="E12" s="3" t="inlineStr">
        <is>
          <t>保証料率（%）</t>
        </is>
      </c>
      <c r="F12" s="6" t="n">
        <v>50</v>
      </c>
    </row>
    <row r="13">
      <c r="A13" s="2" t="inlineStr">
        <is>
          <t>支払条件</t>
        </is>
      </c>
      <c r="B13" s="3" t="inlineStr">
        <is>
          <t>支払期限（毎月）</t>
        </is>
      </c>
      <c r="C13" s="6" t="n">
        <v>27</v>
      </c>
      <c r="D13" s="5" t="n"/>
      <c r="E13" s="3" t="inlineStr">
        <is>
          <t>支払方法</t>
        </is>
      </c>
      <c r="F13" s="4" t="inlineStr">
        <is>
          <t>口座振込</t>
        </is>
      </c>
    </row>
    <row r="14">
      <c r="A14" s="2" t="inlineStr">
        <is>
          <t>支払条件</t>
        </is>
      </c>
      <c r="B14" s="3" t="inlineStr">
        <is>
          <t>振込手数料</t>
        </is>
      </c>
      <c r="C14" s="4" t="inlineStr">
        <is>
          <t>乙負担</t>
        </is>
      </c>
      <c r="D14" s="5" t="n"/>
      <c r="E14" s="3" t="inlineStr">
        <is>
          <t>保証会社</t>
        </is>
      </c>
      <c r="F14" s="4" t="inlineStr">
        <is>
          <t>日本セーフティ</t>
        </is>
      </c>
    </row>
  </sheetData>
  <mergeCells count="1">
    <mergeCell ref="A1:F1"/>
  </mergeCells>
  <dataValidations count="5">
    <dataValidation sqref="F4" showDropDown="0" showInputMessage="0" showErrorMessage="0" allowBlank="1" type="list">
      <formula1>"木造,軽量鉄骨,RC造,SRC造,鉄骨造"</formula1>
    </dataValidation>
    <dataValidation sqref="F7" showDropDown="0" showInputMessage="0" showErrorMessage="0" allowBlank="1" type="list">
      <formula1>"普通借家,定期借家"</formula1>
    </dataValidation>
    <dataValidation sqref="F13" showDropDown="0" showInputMessage="0" showErrorMessage="0" allowBlank="1" type="list">
      <formula1>"口座振込,口座振替,持参"</formula1>
    </dataValidation>
    <dataValidation sqref="C14" showDropDown="0" showInputMessage="0" showErrorMessage="0" allowBlank="1" type="list">
      <formula1>"乙負担,甲負担"</formula1>
    </dataValidation>
    <dataValidation sqref="F14" showDropDown="0" showInputMessage="0" showErrorMessage="0" allowBlank="1" type="list">
      <formula1>"日本セーフティ,Casa,JID,全保連,フォーシーズ"</formula1>
    </dataValidation>
  </dataValidations>
  <printOptions horizontalCentered="1"/>
  <pageMargins left="0.75" right="0.75" top="1" bottom="1" header="0.5" footer="0.5"/>
  <pageSetup orientation="landscape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E14"/>
  <sheetViews>
    <sheetView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16" customWidth="1" min="3" max="3"/>
    <col width="16" customWidth="1" min="4" max="4"/>
    <col width="24" customWidth="1" min="5" max="5"/>
  </cols>
  <sheetData>
    <row r="1" ht="28" customHeight="1">
      <c r="A1" s="7" t="inlineStr">
        <is>
          <t>初期費用 自動計算</t>
        </is>
      </c>
    </row>
    <row r="3" ht="22" customHeight="1">
      <c r="A3" s="8" t="inlineStr">
        <is>
          <t>No</t>
        </is>
      </c>
      <c r="B3" s="8" t="inlineStr">
        <is>
          <t>項目</t>
        </is>
      </c>
      <c r="C3" s="8" t="inlineStr">
        <is>
          <t>計算式</t>
        </is>
      </c>
      <c r="D3" s="8" t="inlineStr">
        <is>
          <t>金額（円）</t>
        </is>
      </c>
      <c r="E3" s="8" t="inlineStr">
        <is>
          <t>備考</t>
        </is>
      </c>
    </row>
    <row r="4">
      <c r="A4" s="9" t="inlineStr">
        <is>
          <t>1</t>
        </is>
      </c>
      <c r="B4" s="10" t="inlineStr">
        <is>
          <t>前家賃（翌月分）</t>
        </is>
      </c>
      <c r="C4" s="10">
        <f>契約条件入力!C9+契約条件入力!F9</f>
        <v/>
      </c>
      <c r="D4" s="11">
        <f>C4</f>
        <v/>
      </c>
      <c r="E4" s="10" t="inlineStr">
        <is>
          <t>入居時に支払</t>
        </is>
      </c>
    </row>
    <row r="5">
      <c r="A5" s="9" t="inlineStr">
        <is>
          <t>2</t>
        </is>
      </c>
      <c r="B5" s="10" t="inlineStr">
        <is>
          <t>日割り家賃</t>
        </is>
      </c>
      <c r="C5" s="10">
        <f>ROUNDDOWN(契約条件入力!C9/30*15,0)</f>
        <v/>
      </c>
      <c r="D5" s="11">
        <f>C5</f>
        <v/>
      </c>
      <c r="E5" s="10" t="inlineStr">
        <is>
          <t>入居日が月途中の場合</t>
        </is>
      </c>
    </row>
    <row r="6">
      <c r="A6" s="9" t="inlineStr">
        <is>
          <t>3</t>
        </is>
      </c>
      <c r="B6" s="10" t="inlineStr">
        <is>
          <t>敷金</t>
        </is>
      </c>
      <c r="C6" s="10">
        <f>契約条件入力!C9*契約条件入力!C10</f>
        <v/>
      </c>
      <c r="D6" s="11">
        <f>C6</f>
        <v/>
      </c>
      <c r="E6" s="10" t="inlineStr">
        <is>
          <t>退去時精算（民法622条の2）</t>
        </is>
      </c>
    </row>
    <row r="7">
      <c r="A7" s="9" t="inlineStr">
        <is>
          <t>4</t>
        </is>
      </c>
      <c r="B7" s="10" t="inlineStr">
        <is>
          <t>礼金</t>
        </is>
      </c>
      <c r="C7" s="10">
        <f>契約条件入力!C9*契約条件入力!F10</f>
        <v/>
      </c>
      <c r="D7" s="11">
        <f>C7</f>
        <v/>
      </c>
      <c r="E7" s="10" t="inlineStr">
        <is>
          <t>貸主への謝礼（返還無）</t>
        </is>
      </c>
    </row>
    <row r="8">
      <c r="A8" s="9" t="inlineStr">
        <is>
          <t>5</t>
        </is>
      </c>
      <c r="B8" s="10" t="inlineStr">
        <is>
          <t>保証会社初回保証料</t>
        </is>
      </c>
      <c r="C8" s="10">
        <f>ROUNDDOWN(契約条件入力!C9*契約条件入力!F11/100,0)</f>
        <v/>
      </c>
      <c r="D8" s="11">
        <f>C8</f>
        <v/>
      </c>
      <c r="E8" s="10" t="inlineStr">
        <is>
          <t>日本セーフティ・Casa等 賃料の30-100%</t>
        </is>
      </c>
    </row>
    <row r="9">
      <c r="A9" s="9" t="inlineStr">
        <is>
          <t>6</t>
        </is>
      </c>
      <c r="B9" s="10" t="inlineStr">
        <is>
          <t>仲介手数料</t>
        </is>
      </c>
      <c r="C9" s="10">
        <f>ROUNDDOWN(契約条件入力!C9*1.1,0)</f>
        <v/>
      </c>
      <c r="D9" s="11">
        <f>C9</f>
        <v/>
      </c>
      <c r="E9" s="10" t="inlineStr">
        <is>
          <t>宅建業法46条 賃料の1ヶ月+税</t>
        </is>
      </c>
    </row>
    <row r="10">
      <c r="A10" s="9" t="inlineStr">
        <is>
          <t>7</t>
        </is>
      </c>
      <c r="B10" s="10" t="inlineStr">
        <is>
          <t>火災保険料（2年）</t>
        </is>
      </c>
      <c r="C10" s="10">
        <f>20000</f>
        <v/>
      </c>
      <c r="D10" s="11">
        <f>C10</f>
        <v/>
      </c>
      <c r="E10" s="10" t="inlineStr">
        <is>
          <t>加入必須</t>
        </is>
      </c>
    </row>
    <row r="11">
      <c r="A11" s="9" t="inlineStr">
        <is>
          <t>8</t>
        </is>
      </c>
      <c r="B11" s="10" t="inlineStr">
        <is>
          <t>鍵交換費用</t>
        </is>
      </c>
      <c r="C11" s="10">
        <f>16500</f>
        <v/>
      </c>
      <c r="D11" s="11">
        <f>C11</f>
        <v/>
      </c>
      <c r="E11" s="10" t="inlineStr">
        <is>
          <t>シリンダー交換・税込</t>
        </is>
      </c>
    </row>
    <row r="12">
      <c r="A12" s="9" t="inlineStr">
        <is>
          <t>9</t>
        </is>
      </c>
      <c r="B12" s="10" t="inlineStr">
        <is>
          <t>室内消毒（任意）</t>
        </is>
      </c>
      <c r="C12" s="10">
        <f>11000</f>
        <v/>
      </c>
      <c r="D12" s="11">
        <f>C12</f>
        <v/>
      </c>
      <c r="E12" s="10" t="inlineStr">
        <is>
          <t>任意項目</t>
        </is>
      </c>
    </row>
    <row r="13">
      <c r="A13" s="9" t="inlineStr">
        <is>
          <t>10</t>
        </is>
      </c>
      <c r="B13" s="10" t="inlineStr">
        <is>
          <t>24時間サポート（任意）</t>
        </is>
      </c>
      <c r="C13" s="10">
        <f>15000</f>
        <v/>
      </c>
      <c r="D13" s="11">
        <f>C13</f>
        <v/>
      </c>
      <c r="E13" s="10" t="inlineStr">
        <is>
          <t>任意項目</t>
        </is>
      </c>
    </row>
    <row r="14">
      <c r="A14" s="5" t="n"/>
      <c r="B14" s="12" t="inlineStr">
        <is>
          <t>【初期費用合計】</t>
        </is>
      </c>
      <c r="C14" s="5" t="n"/>
      <c r="D14" s="13">
        <f>SUM(D4:D13)</f>
        <v/>
      </c>
      <c r="E14" s="5" t="n"/>
    </row>
  </sheetData>
  <mergeCells count="1">
    <mergeCell ref="A1:E1"/>
  </mergeCells>
  <printOptions horizontalCentered="1"/>
  <pageMargins left="0.75" right="0.75" top="1" bottom="1" header="0.5" footer="0.5"/>
  <pageSetup orientation="landscape" paperSize="9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G27"/>
  <sheetViews>
    <sheetView workbookViewId="0">
      <selection activeCell="A1" sqref="A1"/>
    </sheetView>
  </sheetViews>
  <sheetFormatPr baseColWidth="8" defaultRowHeight="15"/>
  <cols>
    <col width="6" customWidth="1" min="1" max="1"/>
    <col width="14" customWidth="1" min="2" max="2"/>
    <col width="12" customWidth="1" min="3" max="3"/>
    <col width="12" customWidth="1" min="4" max="4"/>
    <col width="12" customWidth="1" min="5" max="5"/>
    <col width="12" customWidth="1" min="6" max="6"/>
    <col width="14" customWidth="1" min="7" max="7"/>
  </cols>
  <sheetData>
    <row r="1" ht="28" customHeight="1">
      <c r="A1" s="1" t="inlineStr">
        <is>
          <t>月次支払表（24ヶ月）</t>
        </is>
      </c>
    </row>
    <row r="3" ht="22" customHeight="1">
      <c r="A3" s="8" t="inlineStr">
        <is>
          <t>月</t>
        </is>
      </c>
      <c r="B3" s="8" t="inlineStr">
        <is>
          <t>支払日</t>
        </is>
      </c>
      <c r="C3" s="8" t="inlineStr">
        <is>
          <t>賃料</t>
        </is>
      </c>
      <c r="D3" s="8" t="inlineStr">
        <is>
          <t>共益費</t>
        </is>
      </c>
      <c r="E3" s="8" t="inlineStr">
        <is>
          <t>保証更新</t>
        </is>
      </c>
      <c r="F3" s="8" t="inlineStr">
        <is>
          <t>合計</t>
        </is>
      </c>
      <c r="G3" s="8" t="inlineStr">
        <is>
          <t>備考</t>
        </is>
      </c>
    </row>
    <row r="4">
      <c r="A4" s="14" t="n">
        <v>1</v>
      </c>
      <c r="B4" s="15">
        <f>EDATE(契約条件入力!F6,0)+契約条件入力!C13-1</f>
        <v/>
      </c>
      <c r="C4" s="16">
        <f>契約条件入力!C9</f>
        <v/>
      </c>
      <c r="D4" s="16">
        <f>契約条件入力!F9</f>
        <v/>
      </c>
      <c r="E4" s="16">
        <f>IF(MOD(1,12)=0,初期費用計算!D8,0)</f>
        <v/>
      </c>
      <c r="F4" s="16">
        <f>SUM(C4:E4)</f>
        <v/>
      </c>
      <c r="G4" s="14" t="n"/>
    </row>
    <row r="5">
      <c r="A5" s="14" t="n">
        <v>2</v>
      </c>
      <c r="B5" s="15">
        <f>EDATE(契約条件入力!F6,1)+契約条件入力!C13-1</f>
        <v/>
      </c>
      <c r="C5" s="16">
        <f>契約条件入力!C9</f>
        <v/>
      </c>
      <c r="D5" s="16">
        <f>契約条件入力!F9</f>
        <v/>
      </c>
      <c r="E5" s="16">
        <f>IF(MOD(2,12)=0,初期費用計算!D8,0)</f>
        <v/>
      </c>
      <c r="F5" s="16">
        <f>SUM(C5:E5)</f>
        <v/>
      </c>
      <c r="G5" s="14" t="n"/>
    </row>
    <row r="6">
      <c r="A6" s="14" t="n">
        <v>3</v>
      </c>
      <c r="B6" s="15">
        <f>EDATE(契約条件入力!F6,2)+契約条件入力!C13-1</f>
        <v/>
      </c>
      <c r="C6" s="16">
        <f>契約条件入力!C9</f>
        <v/>
      </c>
      <c r="D6" s="16">
        <f>契約条件入力!F9</f>
        <v/>
      </c>
      <c r="E6" s="16">
        <f>IF(MOD(3,12)=0,初期費用計算!D8,0)</f>
        <v/>
      </c>
      <c r="F6" s="16">
        <f>SUM(C6:E6)</f>
        <v/>
      </c>
      <c r="G6" s="14" t="n"/>
    </row>
    <row r="7">
      <c r="A7" s="14" t="n">
        <v>4</v>
      </c>
      <c r="B7" s="15">
        <f>EDATE(契約条件入力!F6,3)+契約条件入力!C13-1</f>
        <v/>
      </c>
      <c r="C7" s="16">
        <f>契約条件入力!C9</f>
        <v/>
      </c>
      <c r="D7" s="16">
        <f>契約条件入力!F9</f>
        <v/>
      </c>
      <c r="E7" s="16">
        <f>IF(MOD(4,12)=0,初期費用計算!D8,0)</f>
        <v/>
      </c>
      <c r="F7" s="16">
        <f>SUM(C7:E7)</f>
        <v/>
      </c>
      <c r="G7" s="14" t="n"/>
    </row>
    <row r="8">
      <c r="A8" s="14" t="n">
        <v>5</v>
      </c>
      <c r="B8" s="15">
        <f>EDATE(契約条件入力!F6,4)+契約条件入力!C13-1</f>
        <v/>
      </c>
      <c r="C8" s="16">
        <f>契約条件入力!C9</f>
        <v/>
      </c>
      <c r="D8" s="16">
        <f>契約条件入力!F9</f>
        <v/>
      </c>
      <c r="E8" s="16">
        <f>IF(MOD(5,12)=0,初期費用計算!D8,0)</f>
        <v/>
      </c>
      <c r="F8" s="16">
        <f>SUM(C8:E8)</f>
        <v/>
      </c>
      <c r="G8" s="14" t="n"/>
    </row>
    <row r="9">
      <c r="A9" s="14" t="n">
        <v>6</v>
      </c>
      <c r="B9" s="15">
        <f>EDATE(契約条件入力!F6,5)+契約条件入力!C13-1</f>
        <v/>
      </c>
      <c r="C9" s="16">
        <f>契約条件入力!C9</f>
        <v/>
      </c>
      <c r="D9" s="16">
        <f>契約条件入力!F9</f>
        <v/>
      </c>
      <c r="E9" s="16">
        <f>IF(MOD(6,12)=0,初期費用計算!D8,0)</f>
        <v/>
      </c>
      <c r="F9" s="16">
        <f>SUM(C9:E9)</f>
        <v/>
      </c>
      <c r="G9" s="14" t="n"/>
    </row>
    <row r="10">
      <c r="A10" s="14" t="n">
        <v>7</v>
      </c>
      <c r="B10" s="15">
        <f>EDATE(契約条件入力!F6,6)+契約条件入力!C13-1</f>
        <v/>
      </c>
      <c r="C10" s="16">
        <f>契約条件入力!C9</f>
        <v/>
      </c>
      <c r="D10" s="16">
        <f>契約条件入力!F9</f>
        <v/>
      </c>
      <c r="E10" s="16">
        <f>IF(MOD(7,12)=0,初期費用計算!D8,0)</f>
        <v/>
      </c>
      <c r="F10" s="16">
        <f>SUM(C10:E10)</f>
        <v/>
      </c>
      <c r="G10" s="14" t="n"/>
    </row>
    <row r="11">
      <c r="A11" s="14" t="n">
        <v>8</v>
      </c>
      <c r="B11" s="15">
        <f>EDATE(契約条件入力!F6,7)+契約条件入力!C13-1</f>
        <v/>
      </c>
      <c r="C11" s="16">
        <f>契約条件入力!C9</f>
        <v/>
      </c>
      <c r="D11" s="16">
        <f>契約条件入力!F9</f>
        <v/>
      </c>
      <c r="E11" s="16">
        <f>IF(MOD(8,12)=0,初期費用計算!D8,0)</f>
        <v/>
      </c>
      <c r="F11" s="16">
        <f>SUM(C11:E11)</f>
        <v/>
      </c>
      <c r="G11" s="14" t="n"/>
    </row>
    <row r="12">
      <c r="A12" s="14" t="n">
        <v>9</v>
      </c>
      <c r="B12" s="15">
        <f>EDATE(契約条件入力!F6,8)+契約条件入力!C13-1</f>
        <v/>
      </c>
      <c r="C12" s="16">
        <f>契約条件入力!C9</f>
        <v/>
      </c>
      <c r="D12" s="16">
        <f>契約条件入力!F9</f>
        <v/>
      </c>
      <c r="E12" s="16">
        <f>IF(MOD(9,12)=0,初期費用計算!D8,0)</f>
        <v/>
      </c>
      <c r="F12" s="16">
        <f>SUM(C12:E12)</f>
        <v/>
      </c>
      <c r="G12" s="14" t="n"/>
    </row>
    <row r="13">
      <c r="A13" s="14" t="n">
        <v>10</v>
      </c>
      <c r="B13" s="15">
        <f>EDATE(契約条件入力!F6,9)+契約条件入力!C13-1</f>
        <v/>
      </c>
      <c r="C13" s="16">
        <f>契約条件入力!C9</f>
        <v/>
      </c>
      <c r="D13" s="16">
        <f>契約条件入力!F9</f>
        <v/>
      </c>
      <c r="E13" s="16">
        <f>IF(MOD(10,12)=0,初期費用計算!D8,0)</f>
        <v/>
      </c>
      <c r="F13" s="16">
        <f>SUM(C13:E13)</f>
        <v/>
      </c>
      <c r="G13" s="14" t="n"/>
    </row>
    <row r="14">
      <c r="A14" s="14" t="n">
        <v>11</v>
      </c>
      <c r="B14" s="15">
        <f>EDATE(契約条件入力!F6,10)+契約条件入力!C13-1</f>
        <v/>
      </c>
      <c r="C14" s="16">
        <f>契約条件入力!C9</f>
        <v/>
      </c>
      <c r="D14" s="16">
        <f>契約条件入力!F9</f>
        <v/>
      </c>
      <c r="E14" s="16">
        <f>IF(MOD(11,12)=0,初期費用計算!D8,0)</f>
        <v/>
      </c>
      <c r="F14" s="16">
        <f>SUM(C14:E14)</f>
        <v/>
      </c>
      <c r="G14" s="14" t="n"/>
    </row>
    <row r="15">
      <c r="A15" s="14" t="n">
        <v>12</v>
      </c>
      <c r="B15" s="15">
        <f>EDATE(契約条件入力!F6,11)+契約条件入力!C13-1</f>
        <v/>
      </c>
      <c r="C15" s="16">
        <f>契約条件入力!C9</f>
        <v/>
      </c>
      <c r="D15" s="16">
        <f>契約条件入力!F9</f>
        <v/>
      </c>
      <c r="E15" s="16">
        <f>IF(MOD(12,12)=0,初期費用計算!D8,0)</f>
        <v/>
      </c>
      <c r="F15" s="16">
        <f>SUM(C15:E15)</f>
        <v/>
      </c>
      <c r="G15" s="14" t="n"/>
    </row>
    <row r="16">
      <c r="A16" s="14" t="n">
        <v>13</v>
      </c>
      <c r="B16" s="15">
        <f>EDATE(契約条件入力!F6,12)+契約条件入力!C13-1</f>
        <v/>
      </c>
      <c r="C16" s="16">
        <f>契約条件入力!C9</f>
        <v/>
      </c>
      <c r="D16" s="16">
        <f>契約条件入力!F9</f>
        <v/>
      </c>
      <c r="E16" s="16">
        <f>IF(MOD(13,12)=0,初期費用計算!D8,0)</f>
        <v/>
      </c>
      <c r="F16" s="16">
        <f>SUM(C16:E16)</f>
        <v/>
      </c>
      <c r="G16" s="14" t="n"/>
    </row>
    <row r="17">
      <c r="A17" s="14" t="n">
        <v>14</v>
      </c>
      <c r="B17" s="15">
        <f>EDATE(契約条件入力!F6,13)+契約条件入力!C13-1</f>
        <v/>
      </c>
      <c r="C17" s="16">
        <f>契約条件入力!C9</f>
        <v/>
      </c>
      <c r="D17" s="16">
        <f>契約条件入力!F9</f>
        <v/>
      </c>
      <c r="E17" s="16">
        <f>IF(MOD(14,12)=0,初期費用計算!D8,0)</f>
        <v/>
      </c>
      <c r="F17" s="16">
        <f>SUM(C17:E17)</f>
        <v/>
      </c>
      <c r="G17" s="14" t="n"/>
    </row>
    <row r="18">
      <c r="A18" s="14" t="n">
        <v>15</v>
      </c>
      <c r="B18" s="15">
        <f>EDATE(契約条件入力!F6,14)+契約条件入力!C13-1</f>
        <v/>
      </c>
      <c r="C18" s="16">
        <f>契約条件入力!C9</f>
        <v/>
      </c>
      <c r="D18" s="16">
        <f>契約条件入力!F9</f>
        <v/>
      </c>
      <c r="E18" s="16">
        <f>IF(MOD(15,12)=0,初期費用計算!D8,0)</f>
        <v/>
      </c>
      <c r="F18" s="16">
        <f>SUM(C18:E18)</f>
        <v/>
      </c>
      <c r="G18" s="14" t="n"/>
    </row>
    <row r="19">
      <c r="A19" s="14" t="n">
        <v>16</v>
      </c>
      <c r="B19" s="15">
        <f>EDATE(契約条件入力!F6,15)+契約条件入力!C13-1</f>
        <v/>
      </c>
      <c r="C19" s="16">
        <f>契約条件入力!C9</f>
        <v/>
      </c>
      <c r="D19" s="16">
        <f>契約条件入力!F9</f>
        <v/>
      </c>
      <c r="E19" s="16">
        <f>IF(MOD(16,12)=0,初期費用計算!D8,0)</f>
        <v/>
      </c>
      <c r="F19" s="16">
        <f>SUM(C19:E19)</f>
        <v/>
      </c>
      <c r="G19" s="14" t="n"/>
    </row>
    <row r="20">
      <c r="A20" s="14" t="n">
        <v>17</v>
      </c>
      <c r="B20" s="15">
        <f>EDATE(契約条件入力!F6,16)+契約条件入力!C13-1</f>
        <v/>
      </c>
      <c r="C20" s="16">
        <f>契約条件入力!C9</f>
        <v/>
      </c>
      <c r="D20" s="16">
        <f>契約条件入力!F9</f>
        <v/>
      </c>
      <c r="E20" s="16">
        <f>IF(MOD(17,12)=0,初期費用計算!D8,0)</f>
        <v/>
      </c>
      <c r="F20" s="16">
        <f>SUM(C20:E20)</f>
        <v/>
      </c>
      <c r="G20" s="14" t="n"/>
    </row>
    <row r="21">
      <c r="A21" s="14" t="n">
        <v>18</v>
      </c>
      <c r="B21" s="15">
        <f>EDATE(契約条件入力!F6,17)+契約条件入力!C13-1</f>
        <v/>
      </c>
      <c r="C21" s="16">
        <f>契約条件入力!C9</f>
        <v/>
      </c>
      <c r="D21" s="16">
        <f>契約条件入力!F9</f>
        <v/>
      </c>
      <c r="E21" s="16">
        <f>IF(MOD(18,12)=0,初期費用計算!D8,0)</f>
        <v/>
      </c>
      <c r="F21" s="16">
        <f>SUM(C21:E21)</f>
        <v/>
      </c>
      <c r="G21" s="14" t="n"/>
    </row>
    <row r="22">
      <c r="A22" s="14" t="n">
        <v>19</v>
      </c>
      <c r="B22" s="15">
        <f>EDATE(契約条件入力!F6,18)+契約条件入力!C13-1</f>
        <v/>
      </c>
      <c r="C22" s="16">
        <f>契約条件入力!C9</f>
        <v/>
      </c>
      <c r="D22" s="16">
        <f>契約条件入力!F9</f>
        <v/>
      </c>
      <c r="E22" s="16">
        <f>IF(MOD(19,12)=0,初期費用計算!D8,0)</f>
        <v/>
      </c>
      <c r="F22" s="16">
        <f>SUM(C22:E22)</f>
        <v/>
      </c>
      <c r="G22" s="14" t="n"/>
    </row>
    <row r="23">
      <c r="A23" s="14" t="n">
        <v>20</v>
      </c>
      <c r="B23" s="15">
        <f>EDATE(契約条件入力!F6,19)+契約条件入力!C13-1</f>
        <v/>
      </c>
      <c r="C23" s="16">
        <f>契約条件入力!C9</f>
        <v/>
      </c>
      <c r="D23" s="16">
        <f>契約条件入力!F9</f>
        <v/>
      </c>
      <c r="E23" s="16">
        <f>IF(MOD(20,12)=0,初期費用計算!D8,0)</f>
        <v/>
      </c>
      <c r="F23" s="16">
        <f>SUM(C23:E23)</f>
        <v/>
      </c>
      <c r="G23" s="14" t="n"/>
    </row>
    <row r="24">
      <c r="A24" s="14" t="n">
        <v>21</v>
      </c>
      <c r="B24" s="15">
        <f>EDATE(契約条件入力!F6,20)+契約条件入力!C13-1</f>
        <v/>
      </c>
      <c r="C24" s="16">
        <f>契約条件入力!C9</f>
        <v/>
      </c>
      <c r="D24" s="16">
        <f>契約条件入力!F9</f>
        <v/>
      </c>
      <c r="E24" s="16">
        <f>IF(MOD(21,12)=0,初期費用計算!D8,0)</f>
        <v/>
      </c>
      <c r="F24" s="16">
        <f>SUM(C24:E24)</f>
        <v/>
      </c>
      <c r="G24" s="14" t="n"/>
    </row>
    <row r="25">
      <c r="A25" s="14" t="n">
        <v>22</v>
      </c>
      <c r="B25" s="15">
        <f>EDATE(契約条件入力!F6,21)+契約条件入力!C13-1</f>
        <v/>
      </c>
      <c r="C25" s="16">
        <f>契約条件入力!C9</f>
        <v/>
      </c>
      <c r="D25" s="16">
        <f>契約条件入力!F9</f>
        <v/>
      </c>
      <c r="E25" s="16">
        <f>IF(MOD(22,12)=0,初期費用計算!D8,0)</f>
        <v/>
      </c>
      <c r="F25" s="16">
        <f>SUM(C25:E25)</f>
        <v/>
      </c>
      <c r="G25" s="14" t="n"/>
    </row>
    <row r="26">
      <c r="A26" s="14" t="n">
        <v>23</v>
      </c>
      <c r="B26" s="15">
        <f>EDATE(契約条件入力!F6,22)+契約条件入力!C13-1</f>
        <v/>
      </c>
      <c r="C26" s="16">
        <f>契約条件入力!C9</f>
        <v/>
      </c>
      <c r="D26" s="16">
        <f>契約条件入力!F9</f>
        <v/>
      </c>
      <c r="E26" s="16">
        <f>IF(MOD(23,12)=0,初期費用計算!D8,0)</f>
        <v/>
      </c>
      <c r="F26" s="16">
        <f>SUM(C26:E26)</f>
        <v/>
      </c>
      <c r="G26" s="14" t="n"/>
    </row>
    <row r="27">
      <c r="A27" s="14" t="n">
        <v>24</v>
      </c>
      <c r="B27" s="15">
        <f>EDATE(契約条件入力!F6,23)+契約条件入力!C13-1</f>
        <v/>
      </c>
      <c r="C27" s="16">
        <f>契約条件入力!C9</f>
        <v/>
      </c>
      <c r="D27" s="16">
        <f>契約条件入力!F9</f>
        <v/>
      </c>
      <c r="E27" s="16">
        <f>IF(MOD(24,12)=0,初期費用計算!D8,0)</f>
        <v/>
      </c>
      <c r="F27" s="16">
        <f>SUM(C27:E27)</f>
        <v/>
      </c>
      <c r="G27" s="14" t="n"/>
    </row>
  </sheetData>
  <mergeCells count="1">
    <mergeCell ref="A1:G1"/>
  </mergeCells>
  <printOptions horizontalCentered="1"/>
  <pageMargins left="0.75" right="0.75" top="1" bottom="1" header="0.5" footer="0.5"/>
  <pageSetup orientation="landscape" paperSize="9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C10"/>
  <sheetViews>
    <sheetView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30" customWidth="1" min="3" max="3"/>
  </cols>
  <sheetData>
    <row r="1" ht="28" customHeight="1">
      <c r="A1" s="7" t="inlineStr">
        <is>
          <t>契約更新 通知書（自動生成）</t>
        </is>
      </c>
    </row>
    <row r="3">
      <c r="A3" s="17" t="inlineStr">
        <is>
          <t>1</t>
        </is>
      </c>
      <c r="B3" s="18" t="inlineStr">
        <is>
          <t>契約名（号室）</t>
        </is>
      </c>
      <c r="C3" s="19">
        <f>契約条件入力!C3&amp;" "&amp;契約条件入力!F3</f>
        <v/>
      </c>
    </row>
    <row r="4">
      <c r="A4" s="17" t="inlineStr">
        <is>
          <t>2</t>
        </is>
      </c>
      <c r="B4" s="18" t="inlineStr">
        <is>
          <t>契約期間</t>
        </is>
      </c>
      <c r="C4" s="19">
        <f>TEXT(契約条件入力!F6,"yyyy/m/d")&amp;" 〜 "&amp;TEXT(契約条件入力!F7,"yyyy/m/d")</f>
        <v/>
      </c>
    </row>
    <row r="5">
      <c r="A5" s="17" t="inlineStr">
        <is>
          <t>3</t>
        </is>
      </c>
      <c r="B5" s="18" t="inlineStr">
        <is>
          <t>次回更新予定日</t>
        </is>
      </c>
      <c r="C5" s="20">
        <f>契約条件入力!F7+1</f>
        <v/>
      </c>
    </row>
    <row r="6">
      <c r="A6" s="17" t="inlineStr">
        <is>
          <t>4</t>
        </is>
      </c>
      <c r="B6" s="18" t="inlineStr">
        <is>
          <t>通知必要日（6ヶ月前）</t>
        </is>
      </c>
      <c r="C6" s="20">
        <f>EDATE(C5,-6)</f>
        <v/>
      </c>
    </row>
    <row r="7">
      <c r="A7" s="17" t="inlineStr">
        <is>
          <t>5</t>
        </is>
      </c>
      <c r="B7" s="18" t="inlineStr">
        <is>
          <t>通知必要日（1年前）</t>
        </is>
      </c>
      <c r="C7" s="20">
        <f>EDATE(C5,-12)</f>
        <v/>
      </c>
    </row>
    <row r="8">
      <c r="A8" s="17" t="inlineStr">
        <is>
          <t>6</t>
        </is>
      </c>
      <c r="B8" s="18" t="inlineStr">
        <is>
          <t>更新料</t>
        </is>
      </c>
      <c r="C8" s="21">
        <f>契約条件入力!C9*契約条件入力!C11</f>
        <v/>
      </c>
    </row>
    <row r="9">
      <c r="A9" s="17" t="inlineStr">
        <is>
          <t>7</t>
        </is>
      </c>
      <c r="B9" s="18" t="inlineStr">
        <is>
          <t>更新後賃料（変更なし）</t>
        </is>
      </c>
      <c r="C9" s="21">
        <f>契約条件入力!C9</f>
        <v/>
      </c>
    </row>
    <row r="10">
      <c r="A10" s="17" t="inlineStr">
        <is>
          <t>8</t>
        </is>
      </c>
      <c r="B10" s="18" t="inlineStr">
        <is>
          <t>本日から次回更新までの日数</t>
        </is>
      </c>
      <c r="C10" s="22">
        <f>C5-TODAY()</f>
        <v/>
      </c>
    </row>
  </sheetData>
  <mergeCells count="1">
    <mergeCell ref="A1:C1"/>
  </mergeCells>
  <conditionalFormatting sqref="C10">
    <cfRule type="cellIs" priority="1" operator="lessThanOrEqual" dxfId="0">
      <formula>60</formula>
    </cfRule>
  </conditionalFormatting>
  <printOptions horizontalCentered="1"/>
  <pageMargins left="0.75" right="0.75" top="1" bottom="1" header="0.5" footer="0.5"/>
  <pageSetup orientation="landscape" paperSize="9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B8"/>
  <sheetViews>
    <sheetView workbookViewId="0">
      <selection activeCell="A1" sqref="A1"/>
    </sheetView>
  </sheetViews>
  <sheetFormatPr baseColWidth="8" defaultRowHeight="15"/>
  <cols>
    <col width="4" customWidth="1" min="1" max="1"/>
    <col width="90" customWidth="1" min="2" max="2"/>
  </cols>
  <sheetData>
    <row r="1" ht="28" customHeight="1">
      <c r="A1" s="1" t="inlineStr">
        <is>
          <t>使い方ガイド</t>
        </is>
      </c>
    </row>
    <row r="3" ht="30" customHeight="1">
      <c r="A3" s="5" t="inlineStr">
        <is>
          <t>1</t>
        </is>
      </c>
      <c r="B3" s="23" t="inlineStr">
        <is>
          <t>「契約条件入力」シートの黄色セルに数値・日付を入力してください。</t>
        </is>
      </c>
    </row>
    <row r="4" ht="30" customHeight="1">
      <c r="A4" s="5" t="inlineStr">
        <is>
          <t>2</t>
        </is>
      </c>
      <c r="B4" s="23" t="inlineStr">
        <is>
          <t>「初期費用計算」シートで前家賃・敷金・礼金・保証料・仲介手数料が自動算出されます。</t>
        </is>
      </c>
    </row>
    <row r="5" ht="30" customHeight="1">
      <c r="A5" s="5" t="inlineStr">
        <is>
          <t>3</t>
        </is>
      </c>
      <c r="B5" s="23" t="inlineStr">
        <is>
          <t>「月次支払表」シートで24ヶ月分の支払日と金額が自動生成されます。</t>
        </is>
      </c>
    </row>
    <row r="6" ht="30" customHeight="1">
      <c r="A6" s="5" t="inlineStr">
        <is>
          <t>4</t>
        </is>
      </c>
      <c r="B6" s="23" t="inlineStr">
        <is>
          <t>「更新通知」シートで次回更新日・通知必要日（6ヶ月前・1年前）が自動計算されます。</t>
        </is>
      </c>
    </row>
    <row r="7" ht="30" customHeight="1">
      <c r="A7" s="5" t="inlineStr">
        <is>
          <t>5</t>
        </is>
      </c>
      <c r="B7" s="23" t="inlineStr">
        <is>
          <t>次回更新まで60日以内になると赤色で警告表示されます。</t>
        </is>
      </c>
    </row>
    <row r="8" ht="30" customHeight="1">
      <c r="A8" s="5" t="inlineStr">
        <is>
          <t>6</t>
        </is>
      </c>
      <c r="B8" s="23" t="inlineStr">
        <is>
          <t>宅建業法46条準拠・民法改正対応・国交省賃貸住宅標準契約書準拠の計算式を使用しています。</t>
        </is>
      </c>
    </row>
  </sheetData>
  <mergeCells count="1">
    <mergeCell ref="A1:B1"/>
  </mergeCells>
  <printOptions horizontalCentered="1"/>
  <pageMargins left="0.75" right="0.75" top="1" bottom="1" header="0.5" footer="0.5"/>
  <pageSetup orientation="landscape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2026-05-12T09:26:01Z</dcterms:created>
  <dcterms:modified xmlns:dcterms="http://purl.org/dc/terms/" xmlns:xsi="http://www.w3.org/2001/XMLSchema-instance" xsi:type="dcterms:W3CDTF">2026-05-12T09:26:01Z</dcterms:modified>
</cp:coreProperties>
</file>